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Minnow Data\"/>
    </mc:Choice>
  </mc:AlternateContent>
  <bookViews>
    <workbookView xWindow="360" yWindow="15" windowWidth="11340" windowHeight="6540"/>
  </bookViews>
  <sheets>
    <sheet name="data" sheetId="1" r:id="rId1"/>
    <sheet name="data no zero" sheetId="18" r:id="rId2"/>
    <sheet name="data for nugget" sheetId="19" r:id="rId3"/>
    <sheet name="Pivot Charts" sheetId="13" r:id="rId4"/>
    <sheet name="mummichogs" sheetId="17" r:id="rId5"/>
    <sheet name="species diversity" sheetId="9" r:id="rId6"/>
  </sheets>
  <definedNames>
    <definedName name="_xlnm._FilterDatabase" localSheetId="0" hidden="1">data!$A$5:$Y$77</definedName>
    <definedName name="_xlnm._FilterDatabase" localSheetId="2" hidden="1">'data for nugget'!$A$5:$AH$81</definedName>
    <definedName name="_xlnm.Print_Area" localSheetId="4">mummichogs!$A$1:$I$104</definedName>
    <definedName name="_xlnm.Print_Titles" localSheetId="0">data!$A:$C,data!$5:$5</definedName>
    <definedName name="_xlnm.Print_Titles" localSheetId="2">'data for nugget'!$A:$C,'data for nugget'!$5:$5</definedName>
    <definedName name="_xlnm.Print_Titles" localSheetId="1">'data no zero'!$A:$C,'data no zero'!$5:$5</definedName>
  </definedNames>
  <calcPr calcId="152511"/>
  <pivotCaches>
    <pivotCache cacheId="0" r:id="rId7"/>
    <pivotCache cacheId="1" r:id="rId8"/>
    <pivotCache cacheId="2" r:id="rId9"/>
  </pivotCaches>
</workbook>
</file>

<file path=xl/calcChain.xml><?xml version="1.0" encoding="utf-8"?>
<calcChain xmlns="http://schemas.openxmlformats.org/spreadsheetml/2006/main">
  <c r="S93" i="1" l="1"/>
  <c r="U92" i="1"/>
  <c r="S92" i="1"/>
  <c r="U91" i="1"/>
  <c r="S91" i="1"/>
  <c r="U90" i="1"/>
  <c r="S90" i="1"/>
  <c r="U92" i="18"/>
  <c r="U91" i="18"/>
  <c r="U90" i="18"/>
  <c r="S93" i="18"/>
  <c r="S92" i="18"/>
  <c r="S91" i="18"/>
  <c r="S90" i="18"/>
  <c r="U97" i="1" l="1"/>
  <c r="S97" i="1"/>
  <c r="U96" i="1"/>
  <c r="S96" i="1"/>
  <c r="S95" i="1"/>
  <c r="U94" i="1"/>
  <c r="S94" i="1"/>
  <c r="U97" i="18"/>
  <c r="U96" i="18"/>
  <c r="U94" i="18"/>
  <c r="S97" i="18"/>
  <c r="S96" i="18"/>
  <c r="S95" i="18"/>
  <c r="S94" i="18"/>
  <c r="S89" i="18"/>
  <c r="S88" i="18"/>
  <c r="S87" i="18"/>
  <c r="S86" i="18"/>
  <c r="W85" i="1" l="1"/>
  <c r="U85" i="1"/>
  <c r="S85" i="1"/>
  <c r="W84" i="1"/>
  <c r="U84" i="1"/>
  <c r="S84" i="1"/>
  <c r="W83" i="1"/>
  <c r="U83" i="1"/>
  <c r="S83" i="1"/>
  <c r="W82" i="1"/>
  <c r="U82" i="1"/>
  <c r="S82" i="1"/>
  <c r="U81" i="1"/>
  <c r="S81" i="1"/>
  <c r="S80" i="1"/>
  <c r="U79" i="1"/>
  <c r="S79" i="1"/>
  <c r="U78" i="1"/>
  <c r="S78" i="1"/>
  <c r="W85" i="18"/>
  <c r="W84" i="18"/>
  <c r="W83" i="18"/>
  <c r="W82" i="18"/>
  <c r="U85" i="18"/>
  <c r="U84" i="18"/>
  <c r="U83" i="18"/>
  <c r="U82" i="18"/>
  <c r="U81" i="18"/>
  <c r="U79" i="18"/>
  <c r="U78" i="18"/>
  <c r="S85" i="18"/>
  <c r="S84" i="18"/>
  <c r="S83" i="18"/>
  <c r="S82" i="18"/>
  <c r="S81" i="18"/>
  <c r="S80" i="18"/>
  <c r="S79" i="18"/>
  <c r="S78" i="18"/>
  <c r="AF7" i="19" l="1"/>
  <c r="AH6" i="19" s="1"/>
  <c r="AF6" i="19"/>
  <c r="AG6" i="19" s="1"/>
  <c r="AA49" i="19"/>
  <c r="AA46" i="19"/>
  <c r="AA34" i="19"/>
  <c r="AA33" i="19"/>
  <c r="AA26" i="19"/>
  <c r="AA25" i="19"/>
  <c r="AA18" i="19"/>
  <c r="AA19" i="19" s="1"/>
  <c r="U77" i="19" l="1"/>
  <c r="S77" i="19"/>
  <c r="U76" i="19"/>
  <c r="S76" i="19"/>
  <c r="U75" i="19"/>
  <c r="S75" i="19"/>
  <c r="U74" i="19"/>
  <c r="S74" i="19"/>
  <c r="W73" i="19"/>
  <c r="U73" i="19"/>
  <c r="S73" i="19"/>
  <c r="W72" i="19"/>
  <c r="U72" i="19"/>
  <c r="S72" i="19"/>
  <c r="W71" i="19"/>
  <c r="U71" i="19"/>
  <c r="S71" i="19"/>
  <c r="W70" i="19"/>
  <c r="U70" i="19"/>
  <c r="S70" i="19"/>
  <c r="U69" i="19"/>
  <c r="U68" i="19"/>
  <c r="W65" i="19"/>
  <c r="U65" i="19"/>
  <c r="S65" i="19"/>
  <c r="U64" i="19"/>
  <c r="S64" i="19"/>
  <c r="U63" i="19"/>
  <c r="S63" i="19"/>
  <c r="W62" i="19"/>
  <c r="U62" i="19"/>
  <c r="S62" i="19"/>
  <c r="W61" i="19"/>
  <c r="U61" i="19"/>
  <c r="S61" i="19"/>
  <c r="W60" i="19"/>
  <c r="U60" i="19"/>
  <c r="S60" i="19"/>
  <c r="U59" i="19"/>
  <c r="S59" i="19"/>
  <c r="U58" i="19"/>
  <c r="S58" i="19"/>
  <c r="S57" i="19"/>
  <c r="S56" i="19"/>
  <c r="S55" i="19"/>
  <c r="S54" i="19"/>
  <c r="S53" i="19"/>
  <c r="W52" i="19"/>
  <c r="U52" i="19"/>
  <c r="S52" i="19"/>
  <c r="W51" i="19"/>
  <c r="U51" i="19"/>
  <c r="S51" i="19"/>
  <c r="U50" i="19"/>
  <c r="S50" i="19"/>
  <c r="U49" i="19"/>
  <c r="S49" i="19"/>
  <c r="U48" i="19"/>
  <c r="S48" i="19"/>
  <c r="U47" i="19"/>
  <c r="S47" i="19"/>
  <c r="U46" i="19"/>
  <c r="S46" i="19"/>
  <c r="U45" i="19"/>
  <c r="S45" i="19"/>
  <c r="U44" i="19"/>
  <c r="S44" i="19"/>
  <c r="U43" i="19"/>
  <c r="S43" i="19"/>
  <c r="U38" i="19"/>
  <c r="S38" i="19"/>
  <c r="U37" i="19"/>
  <c r="S37" i="19"/>
  <c r="U36" i="19"/>
  <c r="S36" i="19"/>
  <c r="U35" i="19"/>
  <c r="S35" i="19"/>
  <c r="S34" i="19"/>
  <c r="S33" i="19"/>
  <c r="S32" i="19"/>
  <c r="S31" i="19"/>
  <c r="S30" i="19"/>
  <c r="S29" i="19"/>
  <c r="S28" i="19"/>
  <c r="S27" i="19"/>
  <c r="U26" i="19"/>
  <c r="S26" i="19"/>
  <c r="U25" i="19"/>
  <c r="S25" i="19"/>
  <c r="V24" i="19"/>
  <c r="U24" i="19"/>
  <c r="S24" i="19"/>
  <c r="U23" i="19"/>
  <c r="S23" i="19"/>
  <c r="U22" i="19"/>
  <c r="S22" i="19"/>
  <c r="U21" i="19"/>
  <c r="S21" i="19"/>
  <c r="U20" i="19"/>
  <c r="S20" i="19"/>
  <c r="S19" i="19"/>
  <c r="S18" i="19"/>
  <c r="S17" i="19"/>
  <c r="S16" i="19"/>
  <c r="S15" i="19"/>
  <c r="S14" i="19"/>
  <c r="S13" i="19"/>
  <c r="U12" i="19"/>
  <c r="S12" i="19"/>
  <c r="S11" i="19"/>
  <c r="V10" i="19"/>
  <c r="S10" i="19"/>
  <c r="S9" i="19"/>
  <c r="S8" i="19"/>
  <c r="U7" i="19"/>
  <c r="S7" i="19"/>
  <c r="U6" i="19"/>
  <c r="S6" i="19"/>
  <c r="T1" i="19"/>
  <c r="U77" i="18" l="1"/>
  <c r="S77" i="18"/>
  <c r="U76" i="18"/>
  <c r="S76" i="18"/>
  <c r="U75" i="18"/>
  <c r="S75" i="18"/>
  <c r="U74" i="18"/>
  <c r="S74" i="18"/>
  <c r="U77" i="1"/>
  <c r="U76" i="1"/>
  <c r="U75" i="1"/>
  <c r="U74" i="1"/>
  <c r="S77" i="1"/>
  <c r="S76" i="1"/>
  <c r="S75" i="1"/>
  <c r="S74" i="1"/>
  <c r="T1" i="1"/>
  <c r="C39" i="13"/>
  <c r="C41" i="13"/>
  <c r="C38" i="13" s="1"/>
  <c r="C31" i="13"/>
  <c r="W73" i="1"/>
  <c r="U73" i="1"/>
  <c r="S73" i="1"/>
  <c r="W72" i="1"/>
  <c r="U72" i="1"/>
  <c r="S72" i="1"/>
  <c r="W71" i="1"/>
  <c r="U71" i="1"/>
  <c r="S71" i="1"/>
  <c r="W70" i="1"/>
  <c r="U70" i="1"/>
  <c r="S70" i="1"/>
  <c r="W73" i="18"/>
  <c r="W72" i="18"/>
  <c r="W71" i="18"/>
  <c r="W70" i="18"/>
  <c r="U73" i="18"/>
  <c r="U72" i="18"/>
  <c r="U71" i="18"/>
  <c r="U70" i="18"/>
  <c r="S73" i="18"/>
  <c r="S72" i="18"/>
  <c r="S71" i="18"/>
  <c r="S70" i="18"/>
  <c r="S69" i="18"/>
  <c r="S68" i="18"/>
  <c r="S67" i="18"/>
  <c r="S66" i="18"/>
  <c r="S65" i="18"/>
  <c r="T65" i="18" s="1"/>
  <c r="S64" i="18"/>
  <c r="T64" i="18" s="1"/>
  <c r="S63" i="18"/>
  <c r="T63" i="18" s="1"/>
  <c r="S62" i="18"/>
  <c r="T62" i="18" s="1"/>
  <c r="U69" i="18"/>
  <c r="U69" i="1"/>
  <c r="U68" i="18"/>
  <c r="U68" i="1"/>
  <c r="B39" i="13"/>
  <c r="B31" i="13"/>
  <c r="I41" i="13"/>
  <c r="I38" i="13" s="1"/>
  <c r="H41" i="13"/>
  <c r="H36" i="13" s="1"/>
  <c r="H39" i="13"/>
  <c r="H40" i="13"/>
  <c r="B33" i="13"/>
  <c r="B34" i="13"/>
  <c r="B35" i="13"/>
  <c r="B36" i="13"/>
  <c r="B37" i="13"/>
  <c r="B38" i="13"/>
  <c r="Y61" i="18"/>
  <c r="V65" i="18"/>
  <c r="V64" i="18"/>
  <c r="V63" i="18"/>
  <c r="Y58" i="18"/>
  <c r="V62" i="18"/>
  <c r="W65" i="1"/>
  <c r="W62" i="1"/>
  <c r="U65" i="1"/>
  <c r="U64" i="1"/>
  <c r="U63" i="1"/>
  <c r="U62" i="1"/>
  <c r="S65" i="1"/>
  <c r="S64" i="1"/>
  <c r="S63" i="1"/>
  <c r="S62" i="1"/>
  <c r="W61" i="1"/>
  <c r="U61" i="1"/>
  <c r="S61" i="1"/>
  <c r="W60" i="1"/>
  <c r="U60" i="1"/>
  <c r="S60" i="1"/>
  <c r="U59" i="1"/>
  <c r="S59" i="1"/>
  <c r="U58" i="1"/>
  <c r="S58" i="1"/>
  <c r="W61" i="18"/>
  <c r="W60" i="18"/>
  <c r="U61" i="18"/>
  <c r="U60" i="18"/>
  <c r="U59" i="18"/>
  <c r="U58" i="18"/>
  <c r="S58" i="18"/>
  <c r="S59" i="18"/>
  <c r="S60" i="18"/>
  <c r="S61" i="18"/>
  <c r="S57" i="18"/>
  <c r="S56" i="18"/>
  <c r="S55" i="18"/>
  <c r="S54" i="18"/>
  <c r="S54" i="1"/>
  <c r="S55" i="1"/>
  <c r="S56" i="1"/>
  <c r="S57" i="1"/>
  <c r="S53" i="1"/>
  <c r="W52" i="1"/>
  <c r="U52" i="1"/>
  <c r="S52" i="1"/>
  <c r="W51" i="1"/>
  <c r="U51" i="1"/>
  <c r="S51" i="1"/>
  <c r="W52" i="18"/>
  <c r="U52" i="18"/>
  <c r="W51" i="18"/>
  <c r="U51" i="18"/>
  <c r="S53" i="18"/>
  <c r="S52" i="18"/>
  <c r="S51" i="18"/>
  <c r="U46" i="18"/>
  <c r="S46" i="18"/>
  <c r="U45" i="18"/>
  <c r="S45" i="18"/>
  <c r="U44" i="18"/>
  <c r="S44" i="18"/>
  <c r="U43" i="18"/>
  <c r="S43" i="18"/>
  <c r="U46" i="1"/>
  <c r="U45" i="1"/>
  <c r="U44" i="1"/>
  <c r="U43" i="1"/>
  <c r="S46" i="1"/>
  <c r="S45" i="1"/>
  <c r="S44" i="1"/>
  <c r="S43" i="1"/>
  <c r="U50" i="18"/>
  <c r="S50" i="18"/>
  <c r="U49" i="18"/>
  <c r="S49" i="18"/>
  <c r="U48" i="18"/>
  <c r="S48" i="18"/>
  <c r="U47" i="18"/>
  <c r="S47" i="18"/>
  <c r="U50" i="1"/>
  <c r="U49" i="1"/>
  <c r="U48" i="1"/>
  <c r="U47" i="1"/>
  <c r="S47" i="1"/>
  <c r="S48" i="1"/>
  <c r="S49" i="1"/>
  <c r="S50" i="1"/>
  <c r="S6" i="1"/>
  <c r="U6" i="1"/>
  <c r="S7" i="1"/>
  <c r="U7" i="1"/>
  <c r="S8" i="1"/>
  <c r="S9" i="1"/>
  <c r="S10" i="1"/>
  <c r="V10" i="1"/>
  <c r="S11" i="1"/>
  <c r="S12" i="1"/>
  <c r="U12" i="1"/>
  <c r="S13" i="1"/>
  <c r="S14" i="1"/>
  <c r="S15" i="1"/>
  <c r="S16" i="1"/>
  <c r="S17" i="1"/>
  <c r="S18" i="1"/>
  <c r="S19" i="1"/>
  <c r="S20" i="1"/>
  <c r="U20" i="1"/>
  <c r="S21" i="1"/>
  <c r="U21" i="1"/>
  <c r="S22" i="1"/>
  <c r="U22" i="1"/>
  <c r="S23" i="1"/>
  <c r="U23" i="1"/>
  <c r="S24" i="1"/>
  <c r="U24" i="1"/>
  <c r="V24" i="1"/>
  <c r="S25" i="1"/>
  <c r="U25" i="1"/>
  <c r="S26" i="1"/>
  <c r="U26" i="1"/>
  <c r="S27" i="1"/>
  <c r="S28" i="1"/>
  <c r="S29" i="1"/>
  <c r="S30" i="1"/>
  <c r="S31" i="1"/>
  <c r="S32" i="1"/>
  <c r="S33" i="1"/>
  <c r="S34" i="1"/>
  <c r="S35" i="1"/>
  <c r="U35" i="1"/>
  <c r="S36" i="1"/>
  <c r="U36" i="1"/>
  <c r="S37" i="1"/>
  <c r="U37" i="1"/>
  <c r="S38" i="1"/>
  <c r="U38" i="1"/>
  <c r="S6" i="18"/>
  <c r="U6" i="18"/>
  <c r="S7" i="18"/>
  <c r="U7" i="18"/>
  <c r="S8" i="18"/>
  <c r="S9" i="18"/>
  <c r="S10" i="18"/>
  <c r="V10" i="18"/>
  <c r="S11" i="18"/>
  <c r="S12" i="18"/>
  <c r="U12" i="18"/>
  <c r="S13" i="18"/>
  <c r="S14" i="18"/>
  <c r="S15" i="18"/>
  <c r="S16" i="18"/>
  <c r="S17" i="18"/>
  <c r="S18" i="18"/>
  <c r="S19" i="18"/>
  <c r="S20" i="18"/>
  <c r="U20" i="18"/>
  <c r="S21" i="18"/>
  <c r="U21" i="18"/>
  <c r="S22" i="18"/>
  <c r="U22" i="18"/>
  <c r="S23" i="18"/>
  <c r="U23" i="18"/>
  <c r="S24" i="18"/>
  <c r="U24" i="18"/>
  <c r="V24" i="18"/>
  <c r="S25" i="18"/>
  <c r="U25" i="18"/>
  <c r="S26" i="18"/>
  <c r="U26" i="18"/>
  <c r="S27" i="18"/>
  <c r="S28" i="18"/>
  <c r="S29" i="18"/>
  <c r="S30" i="18"/>
  <c r="S31" i="18"/>
  <c r="S32" i="18"/>
  <c r="S33" i="18"/>
  <c r="S34" i="18"/>
  <c r="S35" i="18"/>
  <c r="U35" i="18"/>
  <c r="S36" i="18"/>
  <c r="U36" i="18"/>
  <c r="S37" i="18"/>
  <c r="U37" i="18"/>
  <c r="S38" i="18"/>
  <c r="U38" i="18"/>
  <c r="F3" i="13"/>
  <c r="G3" i="13"/>
  <c r="H3" i="13"/>
  <c r="I3" i="13"/>
  <c r="F4" i="13"/>
  <c r="G4" i="13"/>
  <c r="H4" i="13"/>
  <c r="I4" i="13"/>
  <c r="F5" i="13"/>
  <c r="G5" i="13"/>
  <c r="H5" i="13"/>
  <c r="I5" i="13"/>
  <c r="F6" i="13"/>
  <c r="G6" i="13"/>
  <c r="H6" i="13"/>
  <c r="I6" i="13"/>
  <c r="F7" i="13"/>
  <c r="G7" i="13"/>
  <c r="H7" i="13"/>
  <c r="I7" i="13"/>
  <c r="F12" i="13"/>
  <c r="G12" i="13"/>
  <c r="F13" i="13"/>
  <c r="G13" i="13"/>
  <c r="H13" i="13"/>
  <c r="I13" i="13"/>
  <c r="F14" i="13"/>
  <c r="G14" i="13"/>
  <c r="H14" i="13"/>
  <c r="I14" i="13"/>
  <c r="F15" i="13"/>
  <c r="G15" i="13"/>
  <c r="H15" i="13"/>
  <c r="I15" i="13"/>
  <c r="F16" i="13"/>
  <c r="G16" i="13"/>
  <c r="H16" i="13"/>
  <c r="I16" i="13"/>
  <c r="G19" i="13"/>
  <c r="H19" i="13"/>
  <c r="I19" i="13"/>
  <c r="G20" i="13"/>
  <c r="H20" i="13"/>
  <c r="I20" i="13"/>
  <c r="H21" i="13"/>
  <c r="G22" i="13"/>
  <c r="H22" i="13"/>
  <c r="I22" i="13"/>
  <c r="G23" i="13"/>
  <c r="H23" i="13"/>
  <c r="I23" i="13"/>
  <c r="C37" i="13" l="1"/>
  <c r="C32" i="13"/>
  <c r="C33" i="13"/>
  <c r="C40" i="13"/>
  <c r="C36" i="13"/>
  <c r="C34" i="13"/>
  <c r="C35" i="13"/>
  <c r="I36" i="13"/>
  <c r="I33" i="13"/>
  <c r="I35" i="13"/>
  <c r="I37" i="13"/>
  <c r="I40" i="13"/>
  <c r="I39" i="13"/>
  <c r="H35" i="13"/>
  <c r="H34" i="13"/>
  <c r="H38" i="13"/>
  <c r="H33" i="13"/>
  <c r="H37" i="13"/>
  <c r="I34" i="13"/>
</calcChain>
</file>

<file path=xl/sharedStrings.xml><?xml version="1.0" encoding="utf-8"?>
<sst xmlns="http://schemas.openxmlformats.org/spreadsheetml/2006/main" count="1031" uniqueCount="88">
  <si>
    <t>Date</t>
  </si>
  <si>
    <t>Trap #</t>
  </si>
  <si>
    <t>Area</t>
  </si>
  <si>
    <t>Mummichog</t>
  </si>
  <si>
    <t>Traps 1 and 2 are downstream of the culvert</t>
  </si>
  <si>
    <t>Traps 3 and 4 are upstream of a culvert.</t>
  </si>
  <si>
    <t>American Eel</t>
  </si>
  <si>
    <t>Beetles</t>
  </si>
  <si>
    <t>Average volume in ml</t>
  </si>
  <si>
    <t xml:space="preserve">Total
Number of  org.  </t>
  </si>
  <si>
    <t>Total number of species</t>
  </si>
  <si>
    <t>Green Crab</t>
  </si>
  <si>
    <t>Comments</t>
  </si>
  <si>
    <r>
      <t xml:space="preserve">Location: </t>
    </r>
    <r>
      <rPr>
        <sz val="10"/>
        <rFont val="Arial"/>
        <family val="2"/>
      </rPr>
      <t>Eastern Point</t>
    </r>
  </si>
  <si>
    <t>upstream</t>
  </si>
  <si>
    <t>Seine</t>
  </si>
  <si>
    <t>Seine= seine net used in cove (downstream)</t>
  </si>
  <si>
    <t>downstream</t>
  </si>
  <si>
    <t>Amnt Time (hours)</t>
  </si>
  <si>
    <t>Treatment</t>
  </si>
  <si>
    <t>Restricted</t>
  </si>
  <si>
    <t>Restored 1</t>
  </si>
  <si>
    <t>3-spined stickleback</t>
  </si>
  <si>
    <t>Trap 2 at this site is in between two culverts.</t>
  </si>
  <si>
    <t>9 spined stickleback</t>
  </si>
  <si>
    <t>Amphipod</t>
  </si>
  <si>
    <t>Grand Total</t>
  </si>
  <si>
    <t>Average of Mummichog</t>
  </si>
  <si>
    <t>Vol. Mummichog</t>
  </si>
  <si>
    <t>Vol. Eel</t>
  </si>
  <si>
    <t>Vol. Crab (Green)</t>
  </si>
  <si>
    <t>Average of Vol. Mummichog</t>
  </si>
  <si>
    <t>Season</t>
  </si>
  <si>
    <t>Spring</t>
  </si>
  <si>
    <t>Fall</t>
  </si>
  <si>
    <t>Count of Mummichog</t>
  </si>
  <si>
    <t>Data</t>
  </si>
  <si>
    <t>Count of 3-spined stickleback</t>
  </si>
  <si>
    <t>Count of 9 spined stickleback</t>
  </si>
  <si>
    <t>Count of Amphipod</t>
  </si>
  <si>
    <t>Count of American Eel</t>
  </si>
  <si>
    <t>Count of Green Crab</t>
  </si>
  <si>
    <t>Count of Beetles</t>
  </si>
  <si>
    <t>Count of Area</t>
  </si>
  <si>
    <t>Restored</t>
  </si>
  <si>
    <t>downstream Total</t>
  </si>
  <si>
    <t>upstream Total</t>
  </si>
  <si>
    <t>Upstream</t>
  </si>
  <si>
    <t>Downstream</t>
  </si>
  <si>
    <t>Summer</t>
  </si>
  <si>
    <t>Trap moved from 2 to 1</t>
  </si>
  <si>
    <t>Asian Shore crab</t>
  </si>
  <si>
    <t>Asian Shore Crab</t>
  </si>
  <si>
    <t>Trap 4 spilled.</t>
  </si>
  <si>
    <t>Trap 4 spilled</t>
  </si>
  <si>
    <t>total mum</t>
  </si>
  <si>
    <t>European Shrimp</t>
  </si>
  <si>
    <t>Grass Shrimp</t>
  </si>
  <si>
    <t>Sand Shrimp</t>
  </si>
  <si>
    <t>Count of European Shrimp</t>
  </si>
  <si>
    <t>Count of Grass Shrimp</t>
  </si>
  <si>
    <t>Count of Sand Shrimp</t>
  </si>
  <si>
    <t>Sum of European Shrimp</t>
  </si>
  <si>
    <t>Values</t>
  </si>
  <si>
    <t>Sum of Grass Shrimp</t>
  </si>
  <si>
    <t>Sum of Sand Shrimp</t>
  </si>
  <si>
    <t>Year</t>
  </si>
  <si>
    <t>Row Labels</t>
  </si>
  <si>
    <t>Vol. Asian Shore Crab</t>
  </si>
  <si>
    <t>Upstream Restored 1</t>
  </si>
  <si>
    <t>Downstream Restored 1</t>
  </si>
  <si>
    <t>Upstream Restricted</t>
  </si>
  <si>
    <t>Downstream Restricted</t>
  </si>
  <si>
    <t xml:space="preserve"> </t>
  </si>
  <si>
    <t>New culvert installed December 2003.  2004 is first post restoration data.</t>
  </si>
  <si>
    <t>Average number of Mummichogs</t>
  </si>
  <si>
    <t>Before or after restoration?</t>
  </si>
  <si>
    <t>Before</t>
  </si>
  <si>
    <t>After</t>
  </si>
  <si>
    <t>Average Before Restoration</t>
  </si>
  <si>
    <t>Average After Restoration</t>
  </si>
  <si>
    <t>Sum of Mummichog</t>
  </si>
  <si>
    <t>Column Labels</t>
  </si>
  <si>
    <t>Trap 1</t>
  </si>
  <si>
    <t>Trap 2</t>
  </si>
  <si>
    <t>Trap 3</t>
  </si>
  <si>
    <t>Trap 4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</si>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</sst>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u/>
      <sz val="10"/>
      <color rgb="FF008080"/>
      <name val="Arial"/>
      <family val="2"/>
    </font>
    <font>
      <sz val="12"/>
      <name val="Arial"/>
      <family val="2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/>
      <right/>
      <top/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textRotation="90"/>
    </xf>
    <xf numFmtId="164" fontId="1" fillId="0" borderId="0" xfId="0" applyNumberFormat="1" applyFont="1"/>
    <xf numFmtId="0" fontId="1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7" xfId="0" applyNumberFormat="1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0" xfId="0" applyNumberFormat="1"/>
    <xf numFmtId="165" fontId="0" fillId="0" borderId="0" xfId="0" applyNumberFormat="1"/>
    <xf numFmtId="0" fontId="0" fillId="0" borderId="8" xfId="0" applyBorder="1"/>
    <xf numFmtId="165" fontId="0" fillId="0" borderId="8" xfId="0" applyNumberFormat="1" applyBorder="1"/>
    <xf numFmtId="165" fontId="0" fillId="0" borderId="9" xfId="0" applyNumberFormat="1" applyBorder="1"/>
    <xf numFmtId="10" fontId="0" fillId="0" borderId="0" xfId="0" applyNumberFormat="1"/>
    <xf numFmtId="0" fontId="2" fillId="0" borderId="0" xfId="0" applyFont="1"/>
    <xf numFmtId="0" fontId="0" fillId="0" borderId="0" xfId="0" applyBorder="1"/>
    <xf numFmtId="165" fontId="0" fillId="0" borderId="0" xfId="0" applyNumberFormat="1" applyBorder="1"/>
    <xf numFmtId="9" fontId="0" fillId="0" borderId="0" xfId="0" applyNumberFormat="1"/>
    <xf numFmtId="0" fontId="0" fillId="0" borderId="0" xfId="0" pivotButton="1"/>
    <xf numFmtId="1" fontId="0" fillId="0" borderId="0" xfId="0" applyNumberFormat="1"/>
    <xf numFmtId="1" fontId="0" fillId="0" borderId="0" xfId="0" applyNumberFormat="1" applyAlignment="1">
      <alignment horizontal="left"/>
    </xf>
    <xf numFmtId="0" fontId="3" fillId="2" borderId="10" xfId="0" applyFont="1" applyFill="1" applyBorder="1"/>
    <xf numFmtId="1" fontId="0" fillId="0" borderId="1" xfId="0" applyNumberFormat="1" applyBorder="1"/>
    <xf numFmtId="1" fontId="0" fillId="0" borderId="3" xfId="0" applyNumberFormat="1" applyBorder="1"/>
    <xf numFmtId="0" fontId="2" fillId="0" borderId="1" xfId="0" applyFont="1" applyBorder="1"/>
    <xf numFmtId="0" fontId="2" fillId="0" borderId="2" xfId="0" applyFont="1" applyBorder="1"/>
    <xf numFmtId="0" fontId="4" fillId="0" borderId="0" xfId="0" applyFont="1" applyAlignment="1">
      <alignment horizontal="right"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15" xfId="0" pivotButton="1" applyBorder="1"/>
    <xf numFmtId="0" fontId="0" fillId="0" borderId="16" xfId="0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15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20" xfId="0" applyBorder="1"/>
    <xf numFmtId="0" fontId="0" fillId="0" borderId="20" xfId="0" applyNumberFormat="1" applyBorder="1"/>
    <xf numFmtId="0" fontId="0" fillId="0" borderId="21" xfId="0" applyNumberFormat="1" applyBorder="1"/>
    <xf numFmtId="0" fontId="0" fillId="0" borderId="22" xfId="0" applyBorder="1"/>
    <xf numFmtId="0" fontId="0" fillId="0" borderId="22" xfId="0" applyNumberFormat="1" applyBorder="1"/>
    <xf numFmtId="0" fontId="0" fillId="0" borderId="23" xfId="0" applyNumberFormat="1" applyBorder="1"/>
    <xf numFmtId="0" fontId="0" fillId="0" borderId="24" xfId="0" applyNumberFormat="1" applyBorder="1"/>
    <xf numFmtId="165" fontId="0" fillId="0" borderId="15" xfId="0" applyNumberFormat="1" applyBorder="1"/>
    <xf numFmtId="165" fontId="0" fillId="0" borderId="18" xfId="0" applyNumberFormat="1" applyBorder="1"/>
    <xf numFmtId="165" fontId="0" fillId="0" borderId="19" xfId="0" applyNumberFormat="1" applyBorder="1"/>
    <xf numFmtId="165" fontId="0" fillId="0" borderId="20" xfId="0" applyNumberFormat="1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23" xfId="0" applyNumberFormat="1" applyBorder="1"/>
    <xf numFmtId="165" fontId="0" fillId="0" borderId="24" xfId="0" applyNumberFormat="1" applyBorder="1"/>
    <xf numFmtId="0" fontId="0" fillId="0" borderId="16" xfId="0" pivotButton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5" fontId="0" fillId="0" borderId="27" xfId="0" applyNumberFormat="1" applyBorder="1"/>
    <xf numFmtId="165" fontId="0" fillId="0" borderId="28" xfId="0" applyNumberFormat="1" applyBorder="1"/>
    <xf numFmtId="165" fontId="0" fillId="0" borderId="29" xfId="0" applyNumberFormat="1" applyBorder="1"/>
    <xf numFmtId="1" fontId="0" fillId="0" borderId="15" xfId="0" applyNumberFormat="1" applyBorder="1"/>
    <xf numFmtId="1" fontId="0" fillId="0" borderId="20" xfId="0" applyNumberFormat="1" applyBorder="1"/>
    <xf numFmtId="0" fontId="0" fillId="0" borderId="30" xfId="0" applyBorder="1"/>
    <xf numFmtId="1" fontId="0" fillId="0" borderId="5" xfId="0" applyNumberFormat="1" applyFill="1" applyBorder="1"/>
    <xf numFmtId="1" fontId="0" fillId="0" borderId="0" xfId="0" applyNumberFormat="1" applyFill="1" applyBorder="1"/>
    <xf numFmtId="0" fontId="0" fillId="0" borderId="31" xfId="0" applyNumberFormat="1" applyBorder="1"/>
    <xf numFmtId="0" fontId="0" fillId="0" borderId="31" xfId="0" applyNumberFormat="1" applyFill="1" applyBorder="1"/>
    <xf numFmtId="0" fontId="0" fillId="0" borderId="0" xfId="0" applyNumberFormat="1" applyBorder="1"/>
    <xf numFmtId="0" fontId="6" fillId="2" borderId="10" xfId="0" applyFont="1" applyFill="1" applyBorder="1"/>
    <xf numFmtId="0" fontId="0" fillId="0" borderId="0" xfId="0" applyNumberFormat="1" applyFill="1" applyBorder="1"/>
    <xf numFmtId="0" fontId="0" fillId="0" borderId="0" xfId="0" applyAlignment="1">
      <alignment horizontal="left"/>
    </xf>
    <xf numFmtId="1" fontId="6" fillId="2" borderId="10" xfId="0" applyNumberFormat="1" applyFont="1" applyFill="1" applyBorder="1"/>
  </cellXfs>
  <cellStyles count="1">
    <cellStyle name="Normal" xfId="0" builtinId="0"/>
  </cellStyles>
  <dxfs count="3">
    <dxf>
      <numFmt numFmtId="165" formatCode="0.0"/>
    </dxf>
    <dxf>
      <numFmt numFmtId="165" formatCode="0.0"/>
    </dxf>
    <dxf>
      <numFmt numFmtId="165" formatCode="0.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for nugget'!$AC$5</c:f>
              <c:strCache>
                <c:ptCount val="1"/>
                <c:pt idx="0">
                  <c:v>Average number of Mummichogs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'data for nugget'!$AB$6:$AB$11</c:f>
              <c:numCache>
                <c:formatCode>General</c:formatCode>
                <c:ptCount val="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</c:numCache>
            </c:numRef>
          </c:cat>
          <c:val>
            <c:numRef>
              <c:f>'data for nugget'!$AC$6:$AC$11</c:f>
              <c:numCache>
                <c:formatCode>General</c:formatCode>
                <c:ptCount val="6"/>
                <c:pt idx="0">
                  <c:v>6.2</c:v>
                </c:pt>
                <c:pt idx="1">
                  <c:v>1</c:v>
                </c:pt>
                <c:pt idx="2">
                  <c:v>35.5</c:v>
                </c:pt>
                <c:pt idx="3">
                  <c:v>102.5</c:v>
                </c:pt>
                <c:pt idx="4">
                  <c:v>206</c:v>
                </c:pt>
                <c:pt idx="5">
                  <c:v>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51896"/>
        <c:axId val="110585192"/>
      </c:lineChart>
      <c:catAx>
        <c:axId val="15035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85192"/>
        <c:crosses val="autoZero"/>
        <c:auto val="1"/>
        <c:lblAlgn val="ctr"/>
        <c:lblOffset val="100"/>
        <c:noMultiLvlLbl val="0"/>
      </c:catAx>
      <c:valAx>
        <c:axId val="110585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351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Eastern Point Gloucester Percent Frequency Downstream Pre and Post Restoration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12016293279022409"/>
          <c:y val="3.8022880727695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649694501018314E-2"/>
          <c:y val="0.26184949195944429"/>
          <c:w val="0.70875763747454346"/>
          <c:h val="0.314408229873988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Charts'!$B$30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Charts'!$A$31:$A$40</c:f>
              <c:strCache>
                <c:ptCount val="10"/>
                <c:pt idx="0">
                  <c:v>Mummichog</c:v>
                </c:pt>
                <c:pt idx="1">
                  <c:v>3-spined stickleback</c:v>
                </c:pt>
                <c:pt idx="2">
                  <c:v>9 spined stickleback</c:v>
                </c:pt>
                <c:pt idx="3">
                  <c:v>Amphipod</c:v>
                </c:pt>
                <c:pt idx="4">
                  <c:v>American Eel</c:v>
                </c:pt>
                <c:pt idx="5">
                  <c:v>European Shrimp</c:v>
                </c:pt>
                <c:pt idx="6">
                  <c:v>Green Crab</c:v>
                </c:pt>
                <c:pt idx="7">
                  <c:v>Grass Shrimp</c:v>
                </c:pt>
                <c:pt idx="8">
                  <c:v>Sand Shrimp</c:v>
                </c:pt>
                <c:pt idx="9">
                  <c:v>Beetles</c:v>
                </c:pt>
              </c:strCache>
            </c:strRef>
          </c:cat>
          <c:val>
            <c:numRef>
              <c:f>'Pivot Charts'!$B$31:$B$40</c:f>
              <c:numCache>
                <c:formatCode>General</c:formatCode>
                <c:ptCount val="10"/>
                <c:pt idx="0" formatCode="0%">
                  <c:v>0.25</c:v>
                </c:pt>
                <c:pt idx="1">
                  <c:v>0</c:v>
                </c:pt>
                <c:pt idx="2" formatCode="0%">
                  <c:v>0</c:v>
                </c:pt>
                <c:pt idx="3" formatCode="0%">
                  <c:v>0</c:v>
                </c:pt>
                <c:pt idx="4" formatCode="0%">
                  <c:v>0</c:v>
                </c:pt>
                <c:pt idx="5" formatCode="0%">
                  <c:v>0</c:v>
                </c:pt>
                <c:pt idx="6" formatCode="0%">
                  <c:v>0</c:v>
                </c:pt>
                <c:pt idx="7" formatCode="0%">
                  <c:v>0</c:v>
                </c:pt>
                <c:pt idx="8" formatCode="0%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'Pivot Charts'!$C$30</c:f>
              <c:strCache>
                <c:ptCount val="1"/>
                <c:pt idx="0">
                  <c:v>Restored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Charts'!$A$31:$A$40</c:f>
              <c:strCache>
                <c:ptCount val="10"/>
                <c:pt idx="0">
                  <c:v>Mummichog</c:v>
                </c:pt>
                <c:pt idx="1">
                  <c:v>3-spined stickleback</c:v>
                </c:pt>
                <c:pt idx="2">
                  <c:v>9 spined stickleback</c:v>
                </c:pt>
                <c:pt idx="3">
                  <c:v>Amphipod</c:v>
                </c:pt>
                <c:pt idx="4">
                  <c:v>American Eel</c:v>
                </c:pt>
                <c:pt idx="5">
                  <c:v>European Shrimp</c:v>
                </c:pt>
                <c:pt idx="6">
                  <c:v>Green Crab</c:v>
                </c:pt>
                <c:pt idx="7">
                  <c:v>Grass Shrimp</c:v>
                </c:pt>
                <c:pt idx="8">
                  <c:v>Sand Shrimp</c:v>
                </c:pt>
                <c:pt idx="9">
                  <c:v>Beetles</c:v>
                </c:pt>
              </c:strCache>
            </c:strRef>
          </c:cat>
          <c:val>
            <c:numRef>
              <c:f>'Pivot Charts'!$C$31:$C$40</c:f>
              <c:numCache>
                <c:formatCode>0%</c:formatCode>
                <c:ptCount val="10"/>
                <c:pt idx="0">
                  <c:v>0.97619047619047616</c:v>
                </c:pt>
                <c:pt idx="1">
                  <c:v>0</c:v>
                </c:pt>
                <c:pt idx="2">
                  <c:v>9.5238095238095233E-2</c:v>
                </c:pt>
                <c:pt idx="3">
                  <c:v>4.7619047619047616E-2</c:v>
                </c:pt>
                <c:pt idx="4">
                  <c:v>0.14285714285714285</c:v>
                </c:pt>
                <c:pt idx="5">
                  <c:v>0.11904761904761904</c:v>
                </c:pt>
                <c:pt idx="6">
                  <c:v>0.61904761904761907</c:v>
                </c:pt>
                <c:pt idx="7">
                  <c:v>0.11904761904761904</c:v>
                </c:pt>
                <c:pt idx="8">
                  <c:v>0</c:v>
                </c:pt>
                <c:pt idx="9">
                  <c:v>2.3809523809523808E-2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448392"/>
        <c:axId val="225448784"/>
      </c:barChart>
      <c:catAx>
        <c:axId val="22544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44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4487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4483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281059063136452"/>
          <c:y val="0.39923944621426138"/>
          <c:w val="0.16089613034623232"/>
          <c:h val="0.163498226843781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Eastern Point Percent Frequency Upstream Restricted Vs. Restored</a:t>
            </a:r>
          </a:p>
        </c:rich>
      </c:tx>
      <c:layout>
        <c:manualLayout>
          <c:xMode val="edge"/>
          <c:yMode val="edge"/>
          <c:x val="0.103847051656503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43796498397172E-2"/>
          <c:y val="0.24094138404904708"/>
          <c:w val="0.88059499579133305"/>
          <c:h val="0.313913103582569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Charts'!$H$32</c:f>
              <c:strCache>
                <c:ptCount val="1"/>
                <c:pt idx="0">
                  <c:v>Restricted</c:v>
                </c:pt>
              </c:strCache>
            </c:strRef>
          </c:tx>
          <c:invertIfNegative val="0"/>
          <c:cat>
            <c:strRef>
              <c:f>'Pivot Charts'!$G$33:$G$40</c:f>
              <c:strCache>
                <c:ptCount val="8"/>
                <c:pt idx="0">
                  <c:v>Mummichog</c:v>
                </c:pt>
                <c:pt idx="1">
                  <c:v>3-spined stickleback</c:v>
                </c:pt>
                <c:pt idx="2">
                  <c:v>9 spined stickleback</c:v>
                </c:pt>
                <c:pt idx="3">
                  <c:v>Amphipod</c:v>
                </c:pt>
                <c:pt idx="4">
                  <c:v>American Eel</c:v>
                </c:pt>
                <c:pt idx="5">
                  <c:v>European Shrimp</c:v>
                </c:pt>
                <c:pt idx="6">
                  <c:v>Green Crab</c:v>
                </c:pt>
                <c:pt idx="7">
                  <c:v>Grass Shrimp</c:v>
                </c:pt>
              </c:strCache>
            </c:strRef>
          </c:cat>
          <c:val>
            <c:numRef>
              <c:f>'Pivot Charts'!$H$33:$H$40</c:f>
              <c:numCache>
                <c:formatCode>0.00%</c:formatCode>
                <c:ptCount val="8"/>
                <c:pt idx="0">
                  <c:v>0.66666666666666663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0.16666666666666666</c:v>
                </c:pt>
                <c:pt idx="5">
                  <c:v>0</c:v>
                </c:pt>
                <c:pt idx="6" formatCode="0.0">
                  <c:v>0</c:v>
                </c:pt>
                <c:pt idx="7" formatCode="0.0">
                  <c:v>0</c:v>
                </c:pt>
              </c:numCache>
            </c:numRef>
          </c:val>
        </c:ser>
        <c:ser>
          <c:idx val="1"/>
          <c:order val="1"/>
          <c:tx>
            <c:strRef>
              <c:f>'Pivot Charts'!$I$32</c:f>
              <c:strCache>
                <c:ptCount val="1"/>
                <c:pt idx="0">
                  <c:v>Restored</c:v>
                </c:pt>
              </c:strCache>
            </c:strRef>
          </c:tx>
          <c:invertIfNegative val="0"/>
          <c:cat>
            <c:strRef>
              <c:f>'Pivot Charts'!$G$33:$G$40</c:f>
              <c:strCache>
                <c:ptCount val="8"/>
                <c:pt idx="0">
                  <c:v>Mummichog</c:v>
                </c:pt>
                <c:pt idx="1">
                  <c:v>3-spined stickleback</c:v>
                </c:pt>
                <c:pt idx="2">
                  <c:v>9 spined stickleback</c:v>
                </c:pt>
                <c:pt idx="3">
                  <c:v>Amphipod</c:v>
                </c:pt>
                <c:pt idx="4">
                  <c:v>American Eel</c:v>
                </c:pt>
                <c:pt idx="5">
                  <c:v>European Shrimp</c:v>
                </c:pt>
                <c:pt idx="6">
                  <c:v>Green Crab</c:v>
                </c:pt>
                <c:pt idx="7">
                  <c:v>Grass Shrimp</c:v>
                </c:pt>
              </c:strCache>
            </c:strRef>
          </c:cat>
          <c:val>
            <c:numRef>
              <c:f>'Pivot Charts'!$I$33:$I$40</c:f>
              <c:numCache>
                <c:formatCode>0.00%</c:formatCode>
                <c:ptCount val="8"/>
                <c:pt idx="0">
                  <c:v>0.97499999999999998</c:v>
                </c:pt>
                <c:pt idx="1">
                  <c:v>0.05</c:v>
                </c:pt>
                <c:pt idx="2">
                  <c:v>0.125</c:v>
                </c:pt>
                <c:pt idx="3">
                  <c:v>2.5000000000000001E-2</c:v>
                </c:pt>
                <c:pt idx="4">
                  <c:v>0.05</c:v>
                </c:pt>
                <c:pt idx="5">
                  <c:v>7.4999999999999997E-2</c:v>
                </c:pt>
                <c:pt idx="6" formatCode="0.0">
                  <c:v>0.47499999999999998</c:v>
                </c:pt>
                <c:pt idx="7" formatCode="0.0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5788128"/>
        <c:axId val="225788520"/>
      </c:barChart>
      <c:catAx>
        <c:axId val="2257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788520"/>
        <c:crosses val="autoZero"/>
        <c:auto val="1"/>
        <c:lblAlgn val="ctr"/>
        <c:lblOffset val="100"/>
        <c:noMultiLvlLbl val="0"/>
      </c:catAx>
      <c:valAx>
        <c:axId val="2257885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7881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Shrimp Comparison at Eastern</a:t>
            </a:r>
            <a:r>
              <a:rPr lang="en-US" baseline="0"/>
              <a:t> Point, Gloucester Over Time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Charts'!$G$72</c:f>
              <c:strCache>
                <c:ptCount val="1"/>
                <c:pt idx="0">
                  <c:v>Sum of European Shrimp</c:v>
                </c:pt>
              </c:strCache>
            </c:strRef>
          </c:tx>
          <c:cat>
            <c:numRef>
              <c:f>'Pivot Charts'!$F$73:$F$89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Charts'!$G$73:$G$89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29</c:v>
                </c:pt>
                <c:pt idx="12">
                  <c:v>10</c:v>
                </c:pt>
                <c:pt idx="13">
                  <c:v>0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Charts'!$H$72</c:f>
              <c:strCache>
                <c:ptCount val="1"/>
                <c:pt idx="0">
                  <c:v>Sum of Grass Shrimp</c:v>
                </c:pt>
              </c:strCache>
            </c:strRef>
          </c:tx>
          <c:cat>
            <c:numRef>
              <c:f>'Pivot Charts'!$F$73:$F$89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Charts'!$H$73:$H$89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15</c:v>
                </c:pt>
                <c:pt idx="8">
                  <c:v>7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Charts'!$I$72</c:f>
              <c:strCache>
                <c:ptCount val="1"/>
                <c:pt idx="0">
                  <c:v>Sum of Sand Shrimp</c:v>
                </c:pt>
              </c:strCache>
            </c:strRef>
          </c:tx>
          <c:cat>
            <c:numRef>
              <c:f>'Pivot Charts'!$F$73:$F$89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Charts'!$I$73:$I$89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789304"/>
        <c:axId val="225789696"/>
      </c:lineChart>
      <c:catAx>
        <c:axId val="2257893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225789696"/>
        <c:crosses val="autoZero"/>
        <c:auto val="1"/>
        <c:lblAlgn val="ctr"/>
        <c:lblOffset val="100"/>
        <c:noMultiLvlLbl val="0"/>
      </c:catAx>
      <c:valAx>
        <c:axId val="225789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225789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'data for nugget'!$AC$5</c:f>
              <c:strCache>
                <c:ptCount val="1"/>
                <c:pt idx="0">
                  <c:v>Average number of Mummichogs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'data for nugget'!$AB$6:$AB$11</c:f>
              <c:numCache>
                <c:formatCode>General</c:formatCode>
                <c:ptCount val="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</c:numCache>
            </c:numRef>
          </c:cat>
          <c:val>
            <c:numRef>
              <c:f>'data for nugget'!$AC$6:$AC$11</c:f>
              <c:numCache>
                <c:formatCode>General</c:formatCode>
                <c:ptCount val="6"/>
                <c:pt idx="0">
                  <c:v>6.2</c:v>
                </c:pt>
                <c:pt idx="1">
                  <c:v>1</c:v>
                </c:pt>
                <c:pt idx="2">
                  <c:v>35.5</c:v>
                </c:pt>
                <c:pt idx="3">
                  <c:v>102.5</c:v>
                </c:pt>
                <c:pt idx="4">
                  <c:v>206</c:v>
                </c:pt>
                <c:pt idx="5">
                  <c:v>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3470832"/>
        <c:axId val="224310696"/>
        <c:axId val="0"/>
      </c:bar3DChart>
      <c:catAx>
        <c:axId val="22347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10696"/>
        <c:crosses val="autoZero"/>
        <c:auto val="1"/>
        <c:lblAlgn val="ctr"/>
        <c:lblOffset val="100"/>
        <c:noMultiLvlLbl val="0"/>
      </c:catAx>
      <c:valAx>
        <c:axId val="22431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47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Average number of Mummichogs before and after restoration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nugget'!$AG$5:$AH$5</c:f>
              <c:strCache>
                <c:ptCount val="2"/>
                <c:pt idx="0">
                  <c:v>Average Before Restoration</c:v>
                </c:pt>
                <c:pt idx="1">
                  <c:v>Average After Restoration</c:v>
                </c:pt>
              </c:strCache>
            </c:strRef>
          </c:cat>
          <c:val>
            <c:numRef>
              <c:f>'data for nugget'!$AG$6:$AH$6</c:f>
              <c:numCache>
                <c:formatCode>General</c:formatCode>
                <c:ptCount val="2"/>
                <c:pt idx="0">
                  <c:v>3.6</c:v>
                </c:pt>
                <c:pt idx="1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413784"/>
        <c:axId val="224311080"/>
      </c:barChart>
      <c:catAx>
        <c:axId val="224413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11080"/>
        <c:crosses val="autoZero"/>
        <c:auto val="1"/>
        <c:lblAlgn val="ctr"/>
        <c:lblOffset val="100"/>
        <c:noMultiLvlLbl val="0"/>
      </c:catAx>
      <c:valAx>
        <c:axId val="22431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13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Eastern Point, Gloucester Average # of Mummichogs vs. location and treatment
 </a:t>
            </a:r>
            <a:r>
              <a:rPr lang="en-US" sz="1000"/>
              <a:t>2002-2003= restricted, </a:t>
            </a:r>
            <a:r>
              <a:rPr lang="en-US" sz="1000" baseline="0"/>
              <a:t> </a:t>
            </a:r>
            <a:r>
              <a:rPr lang="en-US" sz="1000"/>
              <a:t>2004-2018= restored</a:t>
            </a:r>
          </a:p>
        </c:rich>
      </c:tx>
      <c:layout>
        <c:manualLayout>
          <c:xMode val="edge"/>
          <c:yMode val="edge"/>
          <c:x val="0.1208418194161575"/>
          <c:y val="3.29531051964512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59674134419564E-2"/>
          <c:y val="0.35487959442332068"/>
          <c:w val="0.68024439918533608"/>
          <c:h val="0.474017743979721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Charts'!$F$5</c:f>
              <c:strCache>
                <c:ptCount val="1"/>
                <c:pt idx="0">
                  <c:v>upstream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'Pivot Charts'!$G$4:$H$4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'Pivot Charts'!$G$5:$H$5</c:f>
              <c:numCache>
                <c:formatCode>General</c:formatCode>
                <c:ptCount val="2"/>
                <c:pt idx="0">
                  <c:v>5.333333333333333</c:v>
                </c:pt>
                <c:pt idx="1">
                  <c:v>142.65</c:v>
                </c:pt>
              </c:numCache>
            </c:numRef>
          </c:val>
        </c:ser>
        <c:ser>
          <c:idx val="1"/>
          <c:order val="1"/>
          <c:tx>
            <c:strRef>
              <c:f>'Pivot Charts'!$F$6</c:f>
              <c:strCache>
                <c:ptCount val="1"/>
                <c:pt idx="0">
                  <c:v>downstream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'Pivot Charts'!$G$4:$H$4</c:f>
              <c:strCache>
                <c:ptCount val="2"/>
                <c:pt idx="0">
                  <c:v>Restricted</c:v>
                </c:pt>
                <c:pt idx="1">
                  <c:v>Restored 1</c:v>
                </c:pt>
              </c:strCache>
            </c:strRef>
          </c:cat>
          <c:val>
            <c:numRef>
              <c:f>'Pivot Charts'!$G$6:$H$6</c:f>
              <c:numCache>
                <c:formatCode>General</c:formatCode>
                <c:ptCount val="2"/>
                <c:pt idx="0">
                  <c:v>3.5</c:v>
                </c:pt>
                <c:pt idx="1">
                  <c:v>85.5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447520"/>
        <c:axId val="224684360"/>
      </c:barChart>
      <c:catAx>
        <c:axId val="22444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68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684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4475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40733197555958"/>
          <c:y val="0.57794676806083645"/>
          <c:w val="0.18329938900203718"/>
          <c:h val="0.163498098859315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Eastern Point, Gloucester Average Volume of Mummichogs vs. treatment vs. location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2002-2003=restricted, 2004-2018= restored </a:t>
            </a:r>
          </a:p>
        </c:rich>
      </c:tx>
      <c:layout>
        <c:manualLayout>
          <c:xMode val="edge"/>
          <c:yMode val="edge"/>
          <c:x val="0.12423625254582507"/>
          <c:y val="3.80228136882129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52953156822837"/>
          <c:y val="0.40684410646387831"/>
          <c:w val="0.63747454175152751"/>
          <c:h val="0.42205323193916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Charts'!$G$13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Charts'!$F$14:$F$15</c:f>
              <c:strCache>
                <c:ptCount val="2"/>
                <c:pt idx="0">
                  <c:v>upstream</c:v>
                </c:pt>
                <c:pt idx="1">
                  <c:v>downstream</c:v>
                </c:pt>
              </c:strCache>
            </c:strRef>
          </c:cat>
          <c:val>
            <c:numRef>
              <c:f>'Pivot Charts'!$G$14:$G$15</c:f>
              <c:numCache>
                <c:formatCode>0.0</c:formatCode>
                <c:ptCount val="2"/>
                <c:pt idx="0">
                  <c:v>4.0885093167701863</c:v>
                </c:pt>
                <c:pt idx="1">
                  <c:v>2.1</c:v>
                </c:pt>
              </c:numCache>
            </c:numRef>
          </c:val>
        </c:ser>
        <c:ser>
          <c:idx val="1"/>
          <c:order val="1"/>
          <c:tx>
            <c:strRef>
              <c:f>'Pivot Charts'!$H$13</c:f>
              <c:strCache>
                <c:ptCount val="1"/>
                <c:pt idx="0">
                  <c:v>Restored 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Charts'!$F$14:$F$15</c:f>
              <c:strCache>
                <c:ptCount val="2"/>
                <c:pt idx="0">
                  <c:v>upstream</c:v>
                </c:pt>
                <c:pt idx="1">
                  <c:v>downstream</c:v>
                </c:pt>
              </c:strCache>
            </c:strRef>
          </c:cat>
          <c:val>
            <c:numRef>
              <c:f>'Pivot Charts'!$H$14:$H$15</c:f>
              <c:numCache>
                <c:formatCode>0.0</c:formatCode>
                <c:ptCount val="2"/>
                <c:pt idx="0">
                  <c:v>3.2221253560193484</c:v>
                </c:pt>
                <c:pt idx="1">
                  <c:v>2.9123867258300602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459816"/>
        <c:axId val="223358816"/>
      </c:barChart>
      <c:catAx>
        <c:axId val="22545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3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35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Volume (ml)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46387832699619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459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40733197555958"/>
          <c:y val="0.53612167300380376"/>
          <c:w val="0.18329938900203718"/>
          <c:h val="0.163498098859315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Eastern Point, Gloucester, MA Average Volume Mummichogs vs. Season 2002-2018</a:t>
            </a:r>
          </a:p>
        </c:rich>
      </c:tx>
      <c:layout>
        <c:manualLayout>
          <c:xMode val="edge"/>
          <c:yMode val="edge"/>
          <c:x val="0.13441955193482691"/>
          <c:y val="3.80228136882129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52953156822837"/>
          <c:y val="0.32699619771863175"/>
          <c:w val="0.6517311608961307"/>
          <c:h val="0.410646387832700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Charts'!$F$21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Charts'!$G$20:$I$20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'Pivot Charts'!$G$21:$I$21</c:f>
              <c:numCache>
                <c:formatCode>0.0</c:formatCode>
                <c:ptCount val="3"/>
                <c:pt idx="1">
                  <c:v>3.6908074534161486</c:v>
                </c:pt>
              </c:numCache>
            </c:numRef>
          </c:val>
        </c:ser>
        <c:ser>
          <c:idx val="1"/>
          <c:order val="1"/>
          <c:tx>
            <c:strRef>
              <c:f>'Pivot Charts'!$F$22</c:f>
              <c:strCache>
                <c:ptCount val="1"/>
                <c:pt idx="0">
                  <c:v>Restored 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Charts'!$G$20:$I$20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'Pivot Charts'!$G$22:$I$22</c:f>
              <c:numCache>
                <c:formatCode>0.0</c:formatCode>
                <c:ptCount val="3"/>
                <c:pt idx="0">
                  <c:v>2.9612817229554578</c:v>
                </c:pt>
                <c:pt idx="1">
                  <c:v>3.3030034187352011</c:v>
                </c:pt>
                <c:pt idx="2">
                  <c:v>3.6769448373408768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331912"/>
        <c:axId val="150331520"/>
      </c:barChart>
      <c:catAx>
        <c:axId val="15033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</a:t>
                </a:r>
              </a:p>
            </c:rich>
          </c:tx>
          <c:layout>
            <c:manualLayout>
              <c:xMode val="edge"/>
              <c:yMode val="edge"/>
              <c:x val="0.41547861507128364"/>
              <c:y val="0.855513307984790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3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Volume (ml)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3802281368821293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31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66395112016299"/>
          <c:y val="0.41191381495564083"/>
          <c:w val="0.13371489643869014"/>
          <c:h val="0.150811855039859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Number of Mummichogs, By Treatment, Eastern Point</a:t>
            </a:r>
            <a:r>
              <a:rPr lang="en-US" baseline="0"/>
              <a:t> Gloucester by year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2196850393700847E-2"/>
          <c:y val="0.29676835879527952"/>
          <c:w val="0.56494335083114611"/>
          <c:h val="0.58716223216800367"/>
        </c:manualLayout>
      </c:layout>
      <c:lineChart>
        <c:grouping val="standard"/>
        <c:varyColors val="0"/>
        <c:ser>
          <c:idx val="0"/>
          <c:order val="0"/>
          <c:tx>
            <c:strRef>
              <c:f>'Pivot Charts'!$H$97</c:f>
              <c:strCache>
                <c:ptCount val="1"/>
                <c:pt idx="0">
                  <c:v>Upstream Restricted</c:v>
                </c:pt>
              </c:strCache>
            </c:strRef>
          </c:tx>
          <c:cat>
            <c:numRef>
              <c:f>'Pivot Charts'!$G$98:$G$114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Charts'!$H$98:$H$114</c:f>
              <c:numCache>
                <c:formatCode>General</c:formatCode>
                <c:ptCount val="17"/>
                <c:pt idx="0">
                  <c:v>6.2</c:v>
                </c:pt>
                <c:pt idx="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Charts'!$I$97</c:f>
              <c:strCache>
                <c:ptCount val="1"/>
                <c:pt idx="0">
                  <c:v>Upstream Restored 1</c:v>
                </c:pt>
              </c:strCache>
            </c:strRef>
          </c:tx>
          <c:cat>
            <c:numRef>
              <c:f>'Pivot Charts'!$G$98:$G$114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Charts'!$I$98:$I$114</c:f>
              <c:numCache>
                <c:formatCode>General</c:formatCode>
                <c:ptCount val="17"/>
                <c:pt idx="2">
                  <c:v>37.5</c:v>
                </c:pt>
                <c:pt idx="3">
                  <c:v>102.5</c:v>
                </c:pt>
                <c:pt idx="4">
                  <c:v>206.5</c:v>
                </c:pt>
                <c:pt idx="5">
                  <c:v>668</c:v>
                </c:pt>
                <c:pt idx="6">
                  <c:v>172.75</c:v>
                </c:pt>
                <c:pt idx="7">
                  <c:v>8</c:v>
                </c:pt>
                <c:pt idx="8">
                  <c:v>204.5</c:v>
                </c:pt>
                <c:pt idx="9">
                  <c:v>233.5</c:v>
                </c:pt>
                <c:pt idx="10">
                  <c:v>98</c:v>
                </c:pt>
                <c:pt idx="11">
                  <c:v>62.5</c:v>
                </c:pt>
                <c:pt idx="12">
                  <c:v>137.5</c:v>
                </c:pt>
                <c:pt idx="13">
                  <c:v>10.5</c:v>
                </c:pt>
                <c:pt idx="14">
                  <c:v>131.5</c:v>
                </c:pt>
                <c:pt idx="15">
                  <c:v>15.5</c:v>
                </c:pt>
                <c:pt idx="16">
                  <c:v>156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Charts'!$J$97</c:f>
              <c:strCache>
                <c:ptCount val="1"/>
                <c:pt idx="0">
                  <c:v>Downstream Restricted</c:v>
                </c:pt>
              </c:strCache>
            </c:strRef>
          </c:tx>
          <c:cat>
            <c:numRef>
              <c:f>'Pivot Charts'!$G$98:$G$114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Charts'!$J$98:$J$114</c:f>
              <c:numCache>
                <c:formatCode>General</c:formatCode>
                <c:ptCount val="17"/>
                <c:pt idx="0">
                  <c:v>0</c:v>
                </c:pt>
                <c:pt idx="1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'Pivot Charts'!$K$97</c:f>
              <c:strCache>
                <c:ptCount val="1"/>
                <c:pt idx="0">
                  <c:v>Downstream Restored 1</c:v>
                </c:pt>
              </c:strCache>
            </c:strRef>
          </c:tx>
          <c:cat>
            <c:numRef>
              <c:f>'Pivot Charts'!$G$98:$G$114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Charts'!$K$98:$K$114</c:f>
              <c:numCache>
                <c:formatCode>General</c:formatCode>
                <c:ptCount val="17"/>
                <c:pt idx="2">
                  <c:v>71.25</c:v>
                </c:pt>
                <c:pt idx="3">
                  <c:v>174.33333333333334</c:v>
                </c:pt>
                <c:pt idx="4">
                  <c:v>66.5</c:v>
                </c:pt>
                <c:pt idx="5">
                  <c:v>312.5</c:v>
                </c:pt>
                <c:pt idx="6">
                  <c:v>92.5</c:v>
                </c:pt>
                <c:pt idx="7">
                  <c:v>22</c:v>
                </c:pt>
                <c:pt idx="8">
                  <c:v>50</c:v>
                </c:pt>
                <c:pt idx="9">
                  <c:v>46</c:v>
                </c:pt>
                <c:pt idx="10">
                  <c:v>223</c:v>
                </c:pt>
                <c:pt idx="11">
                  <c:v>4</c:v>
                </c:pt>
                <c:pt idx="12">
                  <c:v>169</c:v>
                </c:pt>
                <c:pt idx="13">
                  <c:v>51.5</c:v>
                </c:pt>
                <c:pt idx="14">
                  <c:v>61</c:v>
                </c:pt>
                <c:pt idx="15">
                  <c:v>11</c:v>
                </c:pt>
                <c:pt idx="16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29560"/>
        <c:axId val="225445648"/>
      </c:lineChart>
      <c:catAx>
        <c:axId val="1503295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225445648"/>
        <c:crosses val="autoZero"/>
        <c:auto val="1"/>
        <c:lblAlgn val="ctr"/>
        <c:lblOffset val="100"/>
        <c:noMultiLvlLbl val="0"/>
      </c:catAx>
      <c:valAx>
        <c:axId val="225445648"/>
        <c:scaling>
          <c:orientation val="minMax"/>
          <c:max val="7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50329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Number of Mummichogs, Eastern Point</a:t>
            </a:r>
            <a:r>
              <a:rPr lang="en-US" baseline="0"/>
              <a:t> Gloucester by Trap by year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2196850393700847E-2"/>
          <c:y val="0.29676835879527952"/>
          <c:w val="0.56494335083114611"/>
          <c:h val="0.58716223216800367"/>
        </c:manualLayout>
      </c:layout>
      <c:lineChart>
        <c:grouping val="standard"/>
        <c:varyColors val="0"/>
        <c:ser>
          <c:idx val="0"/>
          <c:order val="0"/>
          <c:tx>
            <c:strRef>
              <c:f>'Pivot Charts'!$B$168</c:f>
              <c:strCache>
                <c:ptCount val="1"/>
                <c:pt idx="0">
                  <c:v>Trap 1</c:v>
                </c:pt>
              </c:strCache>
            </c:strRef>
          </c:tx>
          <c:cat>
            <c:numRef>
              <c:f>'Pivot Charts'!$C$167:$S$167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Charts'!$C$168:$S$168</c:f>
              <c:numCache>
                <c:formatCode>General</c:formatCode>
                <c:ptCount val="17"/>
                <c:pt idx="1">
                  <c:v>14</c:v>
                </c:pt>
                <c:pt idx="2">
                  <c:v>84</c:v>
                </c:pt>
                <c:pt idx="3">
                  <c:v>185</c:v>
                </c:pt>
                <c:pt idx="4">
                  <c:v>80</c:v>
                </c:pt>
                <c:pt idx="5">
                  <c:v>325</c:v>
                </c:pt>
                <c:pt idx="6">
                  <c:v>102.5</c:v>
                </c:pt>
                <c:pt idx="7">
                  <c:v>31</c:v>
                </c:pt>
                <c:pt idx="8">
                  <c:v>93</c:v>
                </c:pt>
                <c:pt idx="9">
                  <c:v>52</c:v>
                </c:pt>
                <c:pt idx="10">
                  <c:v>253</c:v>
                </c:pt>
                <c:pt idx="11">
                  <c:v>4</c:v>
                </c:pt>
                <c:pt idx="12">
                  <c:v>133</c:v>
                </c:pt>
                <c:pt idx="13">
                  <c:v>56</c:v>
                </c:pt>
                <c:pt idx="14">
                  <c:v>48.5</c:v>
                </c:pt>
                <c:pt idx="15">
                  <c:v>13</c:v>
                </c:pt>
                <c:pt idx="16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Charts'!$B$169</c:f>
              <c:strCache>
                <c:ptCount val="1"/>
                <c:pt idx="0">
                  <c:v>Trap 2</c:v>
                </c:pt>
              </c:strCache>
            </c:strRef>
          </c:tx>
          <c:cat>
            <c:numRef>
              <c:f>'Pivot Charts'!$C$167:$S$167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Charts'!$C$169:$S$169</c:f>
              <c:numCache>
                <c:formatCode>General</c:formatCode>
                <c:ptCount val="17"/>
                <c:pt idx="2">
                  <c:v>62</c:v>
                </c:pt>
                <c:pt idx="3">
                  <c:v>127</c:v>
                </c:pt>
                <c:pt idx="4">
                  <c:v>53</c:v>
                </c:pt>
                <c:pt idx="5">
                  <c:v>300</c:v>
                </c:pt>
                <c:pt idx="6">
                  <c:v>82.5</c:v>
                </c:pt>
                <c:pt idx="7">
                  <c:v>13</c:v>
                </c:pt>
                <c:pt idx="8">
                  <c:v>7</c:v>
                </c:pt>
                <c:pt idx="9">
                  <c:v>40</c:v>
                </c:pt>
                <c:pt idx="10">
                  <c:v>193</c:v>
                </c:pt>
                <c:pt idx="11">
                  <c:v>4</c:v>
                </c:pt>
                <c:pt idx="12">
                  <c:v>205</c:v>
                </c:pt>
                <c:pt idx="13">
                  <c:v>47</c:v>
                </c:pt>
                <c:pt idx="14">
                  <c:v>73.5</c:v>
                </c:pt>
                <c:pt idx="15">
                  <c:v>9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Charts'!$B$170</c:f>
              <c:strCache>
                <c:ptCount val="1"/>
                <c:pt idx="0">
                  <c:v>Trap 3</c:v>
                </c:pt>
              </c:strCache>
            </c:strRef>
          </c:tx>
          <c:cat>
            <c:numRef>
              <c:f>'Pivot Charts'!$C$167:$S$167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Charts'!$C$170:$S$170</c:f>
              <c:numCache>
                <c:formatCode>General</c:formatCode>
                <c:ptCount val="17"/>
                <c:pt idx="0">
                  <c:v>11.5</c:v>
                </c:pt>
                <c:pt idx="1">
                  <c:v>1</c:v>
                </c:pt>
                <c:pt idx="2">
                  <c:v>46</c:v>
                </c:pt>
                <c:pt idx="3">
                  <c:v>74</c:v>
                </c:pt>
                <c:pt idx="4">
                  <c:v>220.5</c:v>
                </c:pt>
                <c:pt idx="5">
                  <c:v>680</c:v>
                </c:pt>
                <c:pt idx="6">
                  <c:v>127</c:v>
                </c:pt>
                <c:pt idx="7">
                  <c:v>8</c:v>
                </c:pt>
                <c:pt idx="8">
                  <c:v>140</c:v>
                </c:pt>
                <c:pt idx="9">
                  <c:v>207</c:v>
                </c:pt>
                <c:pt idx="10">
                  <c:v>124</c:v>
                </c:pt>
                <c:pt idx="11">
                  <c:v>46</c:v>
                </c:pt>
                <c:pt idx="12">
                  <c:v>105</c:v>
                </c:pt>
                <c:pt idx="13">
                  <c:v>17</c:v>
                </c:pt>
                <c:pt idx="14">
                  <c:v>59.5</c:v>
                </c:pt>
                <c:pt idx="15">
                  <c:v>5</c:v>
                </c:pt>
                <c:pt idx="16">
                  <c:v>150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'Pivot Charts'!$B$171</c:f>
              <c:strCache>
                <c:ptCount val="1"/>
                <c:pt idx="0">
                  <c:v>Trap 4</c:v>
                </c:pt>
              </c:strCache>
            </c:strRef>
          </c:tx>
          <c:cat>
            <c:numRef>
              <c:f>'Pivot Charts'!$C$167:$S$167</c:f>
              <c:numCache>
                <c:formatCode>0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'Pivot Charts'!$C$171:$S$171</c:f>
              <c:numCache>
                <c:formatCode>General</c:formatCode>
                <c:ptCount val="17"/>
                <c:pt idx="0">
                  <c:v>2.6666666666666665</c:v>
                </c:pt>
                <c:pt idx="2">
                  <c:v>25</c:v>
                </c:pt>
                <c:pt idx="3">
                  <c:v>161</c:v>
                </c:pt>
                <c:pt idx="4">
                  <c:v>192.5</c:v>
                </c:pt>
                <c:pt idx="5">
                  <c:v>656</c:v>
                </c:pt>
                <c:pt idx="6">
                  <c:v>218.5</c:v>
                </c:pt>
                <c:pt idx="8">
                  <c:v>269</c:v>
                </c:pt>
                <c:pt idx="9">
                  <c:v>260</c:v>
                </c:pt>
                <c:pt idx="10">
                  <c:v>72</c:v>
                </c:pt>
                <c:pt idx="11">
                  <c:v>79</c:v>
                </c:pt>
                <c:pt idx="12">
                  <c:v>170</c:v>
                </c:pt>
                <c:pt idx="13">
                  <c:v>4</c:v>
                </c:pt>
                <c:pt idx="14">
                  <c:v>203.5</c:v>
                </c:pt>
                <c:pt idx="15">
                  <c:v>26</c:v>
                </c:pt>
                <c:pt idx="16">
                  <c:v>162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446432"/>
        <c:axId val="225446824"/>
      </c:lineChart>
      <c:catAx>
        <c:axId val="2254464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225446824"/>
        <c:crosses val="autoZero"/>
        <c:auto val="1"/>
        <c:lblAlgn val="ctr"/>
        <c:lblOffset val="100"/>
        <c:noMultiLvlLbl val="0"/>
      </c:catAx>
      <c:valAx>
        <c:axId val="225446824"/>
        <c:scaling>
          <c:orientation val="minMax"/>
          <c:max val="7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225446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Eastern Point Gloucester Percent Frequency of Different  Species Upstream Area Restricted vs. Restored</a:t>
            </a:r>
          </a:p>
        </c:rich>
      </c:tx>
      <c:layout>
        <c:manualLayout>
          <c:xMode val="edge"/>
          <c:yMode val="edge"/>
          <c:x val="0.12016293279022409"/>
          <c:y val="3.80229658792651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76849966055668"/>
          <c:y val="0.21546261089987348"/>
          <c:w val="0.64833672776646256"/>
          <c:h val="0.48021117132221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Charts'!$G$33</c:f>
              <c:strCache>
                <c:ptCount val="1"/>
                <c:pt idx="0">
                  <c:v>Mummichog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Charts'!$H$33:$I$33</c:f>
              <c:numCache>
                <c:formatCode>0.00%</c:formatCode>
                <c:ptCount val="2"/>
                <c:pt idx="0">
                  <c:v>0.66666666666666663</c:v>
                </c:pt>
                <c:pt idx="1">
                  <c:v>0.97499999999999998</c:v>
                </c:pt>
              </c:numCache>
            </c:numRef>
          </c:val>
        </c:ser>
        <c:ser>
          <c:idx val="1"/>
          <c:order val="1"/>
          <c:tx>
            <c:strRef>
              <c:f>'Pivot Charts'!$G$34</c:f>
              <c:strCache>
                <c:ptCount val="1"/>
                <c:pt idx="0">
                  <c:v>3-spined stickleback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Charts'!$H$34:$I$34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'Pivot Charts'!$G$35</c:f>
              <c:strCache>
                <c:ptCount val="1"/>
                <c:pt idx="0">
                  <c:v>9 spined stickleback</c:v>
                </c:pt>
              </c:strCache>
            </c:strRef>
          </c:tx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Charts'!$H$35:$I$35</c:f>
              <c:numCache>
                <c:formatCode>0.00%</c:formatCode>
                <c:ptCount val="2"/>
                <c:pt idx="0">
                  <c:v>0</c:v>
                </c:pt>
                <c:pt idx="1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'Pivot Charts'!$G$36</c:f>
              <c:strCache>
                <c:ptCount val="1"/>
                <c:pt idx="0">
                  <c:v>Amphipod</c:v>
                </c:pt>
              </c:strCache>
            </c:strRef>
          </c:tx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Charts'!$H$36:$I$36</c:f>
              <c:numCache>
                <c:formatCode>0.00%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val>
        </c:ser>
        <c:ser>
          <c:idx val="4"/>
          <c:order val="4"/>
          <c:tx>
            <c:strRef>
              <c:f>'Pivot Charts'!$G$37</c:f>
              <c:strCache>
                <c:ptCount val="1"/>
                <c:pt idx="0">
                  <c:v>American Eel</c:v>
                </c:pt>
              </c:strCache>
            </c:strRef>
          </c:tx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Charts'!$H$37:$I$37</c:f>
              <c:numCache>
                <c:formatCode>0.00%</c:formatCode>
                <c:ptCount val="2"/>
                <c:pt idx="0">
                  <c:v>0.16666666666666666</c:v>
                </c:pt>
                <c:pt idx="1">
                  <c:v>0.05</c:v>
                </c:pt>
              </c:numCache>
            </c:numRef>
          </c:val>
        </c:ser>
        <c:ser>
          <c:idx val="5"/>
          <c:order val="5"/>
          <c:tx>
            <c:strRef>
              <c:f>'Pivot Charts'!$G$38</c:f>
              <c:strCache>
                <c:ptCount val="1"/>
                <c:pt idx="0">
                  <c:v>European Shrimp</c:v>
                </c:pt>
              </c:strCache>
            </c:strRef>
          </c:tx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Charts'!$H$38:$I$38</c:f>
              <c:numCache>
                <c:formatCode>0.00%</c:formatCode>
                <c:ptCount val="2"/>
                <c:pt idx="0">
                  <c:v>0</c:v>
                </c:pt>
                <c:pt idx="1">
                  <c:v>7.4999999999999997E-2</c:v>
                </c:pt>
              </c:numCache>
            </c:numRef>
          </c:val>
        </c:ser>
        <c:ser>
          <c:idx val="6"/>
          <c:order val="6"/>
          <c:tx>
            <c:strRef>
              <c:f>'Pivot Charts'!$G$39</c:f>
              <c:strCache>
                <c:ptCount val="1"/>
                <c:pt idx="0">
                  <c:v>Green Crab</c:v>
                </c:pt>
              </c:strCache>
            </c:strRef>
          </c:tx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Charts'!$H$39:$I$39</c:f>
              <c:numCache>
                <c:formatCode>0.0</c:formatCode>
                <c:ptCount val="2"/>
                <c:pt idx="0">
                  <c:v>0</c:v>
                </c:pt>
                <c:pt idx="1">
                  <c:v>0.47499999999999998</c:v>
                </c:pt>
              </c:numCache>
            </c:numRef>
          </c:val>
        </c:ser>
        <c:ser>
          <c:idx val="7"/>
          <c:order val="7"/>
          <c:tx>
            <c:strRef>
              <c:f>'Pivot Charts'!$G$40</c:f>
              <c:strCache>
                <c:ptCount val="1"/>
                <c:pt idx="0">
                  <c:v>Grass Shrimp</c:v>
                </c:pt>
              </c:strCache>
            </c:strRef>
          </c:tx>
          <c:invertIfNegative val="0"/>
          <c:cat>
            <c:strRef>
              <c:f>'Pivot Charts'!$H$32:$I$32</c:f>
              <c:strCache>
                <c:ptCount val="2"/>
                <c:pt idx="0">
                  <c:v>Restricted</c:v>
                </c:pt>
                <c:pt idx="1">
                  <c:v>Restored</c:v>
                </c:pt>
              </c:strCache>
            </c:strRef>
          </c:cat>
          <c:val>
            <c:numRef>
              <c:f>'Pivot Charts'!$H$40:$I$40</c:f>
              <c:numCache>
                <c:formatCode>0.0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332304"/>
        <c:axId val="225447608"/>
      </c:barChart>
      <c:catAx>
        <c:axId val="15033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44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44760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323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5084860828242"/>
          <c:y val="0.26235728346456733"/>
          <c:w val="0.18493914170205297"/>
          <c:h val="0.43762489877267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 orientation="landscape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509587</xdr:colOff>
      <xdr:row>12</xdr:row>
      <xdr:rowOff>9531</xdr:rowOff>
    </xdr:from>
    <xdr:to>
      <xdr:col>28</xdr:col>
      <xdr:colOff>509587</xdr:colOff>
      <xdr:row>29</xdr:row>
      <xdr:rowOff>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90487</xdr:colOff>
      <xdr:row>33</xdr:row>
      <xdr:rowOff>28581</xdr:rowOff>
    </xdr:from>
    <xdr:to>
      <xdr:col>35</xdr:col>
      <xdr:colOff>395287</xdr:colOff>
      <xdr:row>55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452437</xdr:colOff>
      <xdr:row>13</xdr:row>
      <xdr:rowOff>38106</xdr:rowOff>
    </xdr:from>
    <xdr:to>
      <xdr:col>35</xdr:col>
      <xdr:colOff>147637</xdr:colOff>
      <xdr:row>30</xdr:row>
      <xdr:rowOff>28581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19050</xdr:rowOff>
    </xdr:from>
    <xdr:to>
      <xdr:col>8</xdr:col>
      <xdr:colOff>0</xdr:colOff>
      <xdr:row>15</xdr:row>
      <xdr:rowOff>95250</xdr:rowOff>
    </xdr:to>
    <xdr:graphicFrame macro="">
      <xdr:nvGraphicFramePr>
        <xdr:cNvPr id="72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16</xdr:row>
      <xdr:rowOff>66675</xdr:rowOff>
    </xdr:from>
    <xdr:to>
      <xdr:col>7</xdr:col>
      <xdr:colOff>561975</xdr:colOff>
      <xdr:row>31</xdr:row>
      <xdr:rowOff>142875</xdr:rowOff>
    </xdr:to>
    <xdr:graphicFrame macro="">
      <xdr:nvGraphicFramePr>
        <xdr:cNvPr id="724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247650</xdr:colOff>
      <xdr:row>33</xdr:row>
      <xdr:rowOff>9525</xdr:rowOff>
    </xdr:from>
    <xdr:to>
      <xdr:col>8</xdr:col>
      <xdr:colOff>47625</xdr:colOff>
      <xdr:row>48</xdr:row>
      <xdr:rowOff>85725</xdr:rowOff>
    </xdr:to>
    <xdr:graphicFrame macro="">
      <xdr:nvGraphicFramePr>
        <xdr:cNvPr id="724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317500</xdr:colOff>
      <xdr:row>52</xdr:row>
      <xdr:rowOff>163870</xdr:rowOff>
    </xdr:from>
    <xdr:to>
      <xdr:col>8</xdr:col>
      <xdr:colOff>378952</xdr:colOff>
      <xdr:row>77</xdr:row>
      <xdr:rowOff>112660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389193</xdr:colOff>
      <xdr:row>78</xdr:row>
      <xdr:rowOff>122903</xdr:rowOff>
    </xdr:from>
    <xdr:to>
      <xdr:col>8</xdr:col>
      <xdr:colOff>450645</xdr:colOff>
      <xdr:row>103</xdr:row>
      <xdr:rowOff>71693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0.01629</cdr:x>
      <cdr:y>0.78816</cdr:y>
    </cdr:from>
    <cdr:to>
      <cdr:x>0.28864</cdr:x>
      <cdr:y>0.95099</cdr:y>
    </cdr:to>
    <cdr:sp macro="" textlink="">
      <cdr:nvSpPr>
        <cdr:cNvPr id="112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94" y="1985070"/>
          <a:ext cx="1276312" cy="409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Did not sample in spring pre-restoration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104775</xdr:rowOff>
    </xdr:from>
    <xdr:to>
      <xdr:col>6</xdr:col>
      <xdr:colOff>181937</xdr:colOff>
      <xdr:row>22</xdr:row>
      <xdr:rowOff>32106</xdr:rowOff>
    </xdr:to>
    <xdr:graphicFrame macro="">
      <xdr:nvGraphicFramePr>
        <xdr:cNvPr id="418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203341</xdr:colOff>
      <xdr:row>22</xdr:row>
      <xdr:rowOff>96320</xdr:rowOff>
    </xdr:from>
    <xdr:to>
      <xdr:col>6</xdr:col>
      <xdr:colOff>214044</xdr:colOff>
      <xdr:row>47</xdr:row>
      <xdr:rowOff>85617</xdr:rowOff>
    </xdr:to>
    <xdr:graphicFrame macro="">
      <xdr:nvGraphicFramePr>
        <xdr:cNvPr id="4184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80906</xdr:rowOff>
    </xdr:from>
    <xdr:to>
      <xdr:col>6</xdr:col>
      <xdr:colOff>171236</xdr:colOff>
      <xdr:row>76</xdr:row>
      <xdr:rowOff>32106</xdr:rowOff>
    </xdr:to>
    <xdr:graphicFrame macro="">
      <xdr:nvGraphicFramePr>
        <xdr:cNvPr id="41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51210</xdr:colOff>
      <xdr:row>77</xdr:row>
      <xdr:rowOff>92177</xdr:rowOff>
    </xdr:from>
    <xdr:to>
      <xdr:col>6</xdr:col>
      <xdr:colOff>450645</xdr:colOff>
      <xdr:row>98</xdr:row>
      <xdr:rowOff>40968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0.68589</cdr:x>
      <cdr:y>0.74594</cdr:y>
    </cdr:from>
    <cdr:to>
      <cdr:x>0.98984</cdr:x>
      <cdr:y>0.95053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2886" y="2021965"/>
          <a:ext cx="1428964" cy="3895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2002-2003 Restricted</a:t>
          </a:r>
        </a:p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2004-2018 Restored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0.69605</cdr:x>
      <cdr:y>0.10202</cdr:y>
    </cdr:from>
    <cdr:to>
      <cdr:x>1</cdr:x>
      <cdr:y>0.2337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0656" y="298330"/>
          <a:ext cx="1606957" cy="385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2002-2003 Restricted</a:t>
          </a:r>
        </a:p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2004-2018 Restored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0.58341</cdr:x>
      <cdr:y>0.80414</cdr:y>
    </cdr:from>
    <cdr:to>
      <cdr:x>0.87845</cdr:x>
      <cdr:y>0.94267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5074" y="3123381"/>
          <a:ext cx="1615806" cy="538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2002-2003 Restricted</a:t>
          </a:r>
        </a:p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2004-2018 Restored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399.48831296296" createdVersion="5" refreshedVersion="5" minRefreshableVersion="3" recordCount="92">
  <cacheSource type="worksheet">
    <worksheetSource ref="A5:X97" sheet="data"/>
  </cacheSource>
  <cacheFields count="24">
    <cacheField name="Date" numFmtId="14">
      <sharedItems containsSemiMixedTypes="0" containsNonDate="0" containsDate="1" containsString="0" minDate="2002-04-24T00:00:00" maxDate="2018-10-20T00:00:00"/>
    </cacheField>
    <cacheField name="Year" numFmtId="1">
      <sharedItems containsSemiMixedTypes="0" containsString="0" containsNumber="1" containsInteger="1" minValue="2002" maxValue="2018" count="17"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Trap #" numFmtId="0">
      <sharedItems containsMixedTypes="1" containsNumber="1" containsInteger="1" minValue="1" maxValue="4" count="5">
        <n v="4"/>
        <n v="3"/>
        <s v="Seine"/>
        <n v="1"/>
        <n v="2"/>
      </sharedItems>
    </cacheField>
    <cacheField name="Amnt Time (hours)" numFmtId="0">
      <sharedItems containsString="0" containsBlank="1" containsNumber="1" minValue="0.5" maxValue="27.5"/>
    </cacheField>
    <cacheField name="Season" numFmtId="0">
      <sharedItems/>
    </cacheField>
    <cacheField name="Area" numFmtId="0">
      <sharedItems/>
    </cacheField>
    <cacheField name="Treatment" numFmtId="0">
      <sharedItems/>
    </cacheField>
    <cacheField name="Mummichog" numFmtId="0">
      <sharedItems containsSemiMixedTypes="0" containsString="0" containsNumber="1" containsInteger="1" minValue="0" maxValue="680"/>
    </cacheField>
    <cacheField name="3-spined stickleback" numFmtId="0">
      <sharedItems containsSemiMixedTypes="0" containsString="0" containsNumber="1" containsInteger="1" minValue="0" maxValue="1"/>
    </cacheField>
    <cacheField name="9 spined stickleback" numFmtId="0">
      <sharedItems containsSemiMixedTypes="0" containsString="0" containsNumber="1" containsInteger="1" minValue="0" maxValue="7"/>
    </cacheField>
    <cacheField name="Amphipod" numFmtId="0">
      <sharedItems containsSemiMixedTypes="0" containsString="0" containsNumber="1" containsInteger="1" minValue="0" maxValue="2"/>
    </cacheField>
    <cacheField name="American Eel" numFmtId="0">
      <sharedItems containsSemiMixedTypes="0" containsString="0" containsNumber="1" containsInteger="1" minValue="0" maxValue="3"/>
    </cacheField>
    <cacheField name="European Shrimp" numFmtId="0">
      <sharedItems containsSemiMixedTypes="0" containsString="0" containsNumber="1" containsInteger="1" minValue="0" maxValue="10"/>
    </cacheField>
    <cacheField name="Grass Shrimp" numFmtId="0">
      <sharedItems containsSemiMixedTypes="0" containsString="0" containsNumber="1" containsInteger="1" minValue="0" maxValue="9"/>
    </cacheField>
    <cacheField name="Sand Shrimp" numFmtId="0">
      <sharedItems containsSemiMixedTypes="0" containsString="0" containsNumber="1" containsInteger="1" minValue="0" maxValue="2"/>
    </cacheField>
    <cacheField name="Green Crab" numFmtId="0">
      <sharedItems containsString="0" containsBlank="1" containsNumber="1" containsInteger="1" minValue="0" maxValue="67"/>
    </cacheField>
    <cacheField name="Asian Shore Crab" numFmtId="0">
      <sharedItems containsSemiMixedTypes="0" containsString="0" containsNumber="1" containsInteger="1" minValue="0" maxValue="3"/>
    </cacheField>
    <cacheField name="Beetles" numFmtId="0">
      <sharedItems containsSemiMixedTypes="0" containsString="0" containsNumber="1" containsInteger="1" minValue="0" maxValue="2"/>
    </cacheField>
    <cacheField name="Total_x000a_Number of  org.  " numFmtId="0">
      <sharedItems containsSemiMixedTypes="0" containsString="0" containsNumber="1" containsInteger="1" minValue="0" maxValue="375"/>
    </cacheField>
    <cacheField name="Total number of species" numFmtId="0">
      <sharedItems containsSemiMixedTypes="0" containsString="0" containsNumber="1" containsInteger="1" minValue="0" maxValue="4"/>
    </cacheField>
    <cacheField name="Vol. Mummichog" numFmtId="0">
      <sharedItems containsString="0" containsBlank="1" containsNumber="1" minValue="1.267605633802817" maxValue="8.6669999999999998"/>
    </cacheField>
    <cacheField name="Vol. Eel" numFmtId="0">
      <sharedItems containsString="0" containsBlank="1" containsNumber="1" minValue="5" maxValue="21.66"/>
    </cacheField>
    <cacheField name="Vol. Crab (Green)" numFmtId="0">
      <sharedItems containsString="0" containsBlank="1" containsNumber="1" minValue="1" maxValue="12.5"/>
    </cacheField>
    <cacheField name="Vol. Asian Shore Crab" numFmtId="0">
      <sharedItems containsString="0" containsBlank="1" containsNumber="1" minValue="8.3000000000000007" maxValue="8.30000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399.488315972223" createdVersion="5" refreshedVersion="5" minRefreshableVersion="3" recordCount="92">
  <cacheSource type="worksheet">
    <worksheetSource ref="A5:W97" sheet="data no zero"/>
  </cacheSource>
  <cacheFields count="23">
    <cacheField name="Date" numFmtId="14">
      <sharedItems containsSemiMixedTypes="0" containsNonDate="0" containsDate="1" containsString="0" minDate="2002-04-24T00:00:00" maxDate="2018-10-20T00:00:00"/>
    </cacheField>
    <cacheField name="Year" numFmtId="1">
      <sharedItems containsSemiMixedTypes="0" containsString="0" containsNumber="1" containsInteger="1" minValue="2002" maxValue="2018"/>
    </cacheField>
    <cacheField name="Trap #" numFmtId="0">
      <sharedItems containsMixedTypes="1" containsNumber="1" containsInteger="1" minValue="1" maxValue="4"/>
    </cacheField>
    <cacheField name="Amnt Time (hours)" numFmtId="0">
      <sharedItems containsString="0" containsBlank="1" containsNumber="1" minValue="0.5" maxValue="27.5"/>
    </cacheField>
    <cacheField name="Season" numFmtId="0">
      <sharedItems/>
    </cacheField>
    <cacheField name="Area" numFmtId="0">
      <sharedItems count="2">
        <s v="upstream"/>
        <s v="downstream"/>
      </sharedItems>
    </cacheField>
    <cacheField name="Treatment" numFmtId="0">
      <sharedItems count="2">
        <s v="Restricted"/>
        <s v="Restored 1"/>
      </sharedItems>
    </cacheField>
    <cacheField name="Mummichog" numFmtId="0">
      <sharedItems containsString="0" containsBlank="1" containsNumber="1" containsInteger="1" minValue="0" maxValue="680"/>
    </cacheField>
    <cacheField name="3-spined stickleback" numFmtId="0">
      <sharedItems containsString="0" containsBlank="1" containsNumber="1" containsInteger="1" minValue="1" maxValue="1"/>
    </cacheField>
    <cacheField name="9 spined stickleback" numFmtId="0">
      <sharedItems containsString="0" containsBlank="1" containsNumber="1" containsInteger="1" minValue="1" maxValue="7"/>
    </cacheField>
    <cacheField name="Amphipod" numFmtId="0">
      <sharedItems containsString="0" containsBlank="1" containsNumber="1" containsInteger="1" minValue="1" maxValue="2"/>
    </cacheField>
    <cacheField name="American Eel" numFmtId="0">
      <sharedItems containsString="0" containsBlank="1" containsNumber="1" containsInteger="1" minValue="1" maxValue="3"/>
    </cacheField>
    <cacheField name="European Shrimp" numFmtId="0">
      <sharedItems containsString="0" containsBlank="1" containsNumber="1" containsInteger="1" minValue="1" maxValue="10"/>
    </cacheField>
    <cacheField name="Grass Shrimp" numFmtId="0">
      <sharedItems containsString="0" containsBlank="1" containsNumber="1" containsInteger="1" minValue="1" maxValue="9"/>
    </cacheField>
    <cacheField name="Sand Shrimp" numFmtId="0">
      <sharedItems containsString="0" containsBlank="1" containsNumber="1" containsInteger="1" minValue="2" maxValue="2"/>
    </cacheField>
    <cacheField name="Green Crab" numFmtId="0">
      <sharedItems containsString="0" containsBlank="1" containsNumber="1" containsInteger="1" minValue="1" maxValue="67"/>
    </cacheField>
    <cacheField name="Asian Shore crab" numFmtId="0">
      <sharedItems containsString="0" containsBlank="1" containsNumber="1" containsInteger="1" minValue="1" maxValue="3"/>
    </cacheField>
    <cacheField name="Beetles" numFmtId="0">
      <sharedItems containsString="0" containsBlank="1" containsNumber="1" containsInteger="1" minValue="2" maxValue="3"/>
    </cacheField>
    <cacheField name="Total_x000a_Number of  org.  " numFmtId="0">
      <sharedItems containsSemiMixedTypes="0" containsString="0" containsNumber="1" containsInteger="1" minValue="0" maxValue="375"/>
    </cacheField>
    <cacheField name="Total number of species" numFmtId="0">
      <sharedItems containsSemiMixedTypes="0" containsString="0" containsNumber="1" containsInteger="1" minValue="0" maxValue="516"/>
    </cacheField>
    <cacheField name="Vol. Mummichog" numFmtId="0">
      <sharedItems containsString="0" containsBlank="1" containsNumber="1" minValue="1.267605633802817" maxValue="8.6669999999999998"/>
    </cacheField>
    <cacheField name="Vol. Eel" numFmtId="0">
      <sharedItems containsString="0" containsBlank="1" containsNumber="1" minValue="1.5544041450777202" maxValue="21.66"/>
    </cacheField>
    <cacheField name="Vol. Crab (Green)" numFmtId="0">
      <sharedItems containsString="0" containsBlank="1" containsNumber="1" minValue="1" maxValue="12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Liz Duff" refreshedDate="43399.488316087962" createdVersion="5" refreshedVersion="5" minRefreshableVersion="3" recordCount="92">
  <cacheSource type="worksheet">
    <worksheetSource ref="A5:W97" sheet="data"/>
  </cacheSource>
  <cacheFields count="23">
    <cacheField name="Date" numFmtId="14">
      <sharedItems containsSemiMixedTypes="0" containsNonDate="0" containsDate="1" containsString="0" minDate="2002-04-24T00:00:00" maxDate="2018-10-20T00:00:00"/>
    </cacheField>
    <cacheField name="Year" numFmtId="1">
      <sharedItems containsSemiMixedTypes="0" containsString="0" containsNumber="1" containsInteger="1" minValue="2002" maxValue="2018" count="17"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Trap #" numFmtId="0">
      <sharedItems containsMixedTypes="1" containsNumber="1" containsInteger="1" minValue="1" maxValue="4"/>
    </cacheField>
    <cacheField name="Amnt Time (hours)" numFmtId="0">
      <sharedItems containsString="0" containsBlank="1" containsNumber="1" minValue="0.5" maxValue="27.5"/>
    </cacheField>
    <cacheField name="Season" numFmtId="0">
      <sharedItems count="3">
        <s v="Spring"/>
        <s v="Fall"/>
        <s v="Summer"/>
      </sharedItems>
    </cacheField>
    <cacheField name="Area" numFmtId="0">
      <sharedItems count="2">
        <s v="upstream"/>
        <s v="downstream"/>
      </sharedItems>
    </cacheField>
    <cacheField name="Treatment" numFmtId="0">
      <sharedItems count="2">
        <s v="Restricted"/>
        <s v="Restored 1"/>
      </sharedItems>
    </cacheField>
    <cacheField name="Mummichog" numFmtId="0">
      <sharedItems containsSemiMixedTypes="0" containsString="0" containsNumber="1" containsInteger="1" minValue="0" maxValue="680"/>
    </cacheField>
    <cacheField name="3-spined stickleback" numFmtId="0">
      <sharedItems containsSemiMixedTypes="0" containsString="0" containsNumber="1" containsInteger="1" minValue="0" maxValue="1"/>
    </cacheField>
    <cacheField name="9 spined stickleback" numFmtId="0">
      <sharedItems containsSemiMixedTypes="0" containsString="0" containsNumber="1" containsInteger="1" minValue="0" maxValue="7"/>
    </cacheField>
    <cacheField name="Amphipod" numFmtId="0">
      <sharedItems containsSemiMixedTypes="0" containsString="0" containsNumber="1" containsInteger="1" minValue="0" maxValue="2"/>
    </cacheField>
    <cacheField name="American Eel" numFmtId="0">
      <sharedItems containsSemiMixedTypes="0" containsString="0" containsNumber="1" containsInteger="1" minValue="0" maxValue="3"/>
    </cacheField>
    <cacheField name="European Shrimp" numFmtId="0">
      <sharedItems containsSemiMixedTypes="0" containsString="0" containsNumber="1" containsInteger="1" minValue="0" maxValue="10"/>
    </cacheField>
    <cacheField name="Grass Shrimp" numFmtId="0">
      <sharedItems containsSemiMixedTypes="0" containsString="0" containsNumber="1" containsInteger="1" minValue="0" maxValue="9"/>
    </cacheField>
    <cacheField name="Sand Shrimp" numFmtId="0">
      <sharedItems containsSemiMixedTypes="0" containsString="0" containsNumber="1" containsInteger="1" minValue="0" maxValue="2"/>
    </cacheField>
    <cacheField name="Green Crab" numFmtId="0">
      <sharedItems containsString="0" containsBlank="1" containsNumber="1" containsInteger="1" minValue="0" maxValue="67"/>
    </cacheField>
    <cacheField name="Asian Shore Crab" numFmtId="0">
      <sharedItems containsSemiMixedTypes="0" containsString="0" containsNumber="1" containsInteger="1" minValue="0" maxValue="3"/>
    </cacheField>
    <cacheField name="Beetles" numFmtId="0">
      <sharedItems containsSemiMixedTypes="0" containsString="0" containsNumber="1" containsInteger="1" minValue="0" maxValue="2"/>
    </cacheField>
    <cacheField name="Total_x000a_Number of  org.  " numFmtId="0">
      <sharedItems containsSemiMixedTypes="0" containsString="0" containsNumber="1" containsInteger="1" minValue="0" maxValue="375"/>
    </cacheField>
    <cacheField name="Total number of species" numFmtId="0">
      <sharedItems containsSemiMixedTypes="0" containsString="0" containsNumber="1" containsInteger="1" minValue="0" maxValue="4"/>
    </cacheField>
    <cacheField name="Vol. Mummichog" numFmtId="0">
      <sharedItems containsString="0" containsBlank="1" containsNumber="1" minValue="1.267605633802817" maxValue="8.6669999999999998"/>
    </cacheField>
    <cacheField name="Vol. Eel" numFmtId="0">
      <sharedItems containsString="0" containsBlank="1" containsNumber="1" minValue="5" maxValue="21.66"/>
    </cacheField>
    <cacheField name="Vol. Crab (Green)" numFmtId="0">
      <sharedItems containsString="0" containsBlank="1" containsNumber="1" minValue="1" maxValue="12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d v="2002-04-24T00:00:00"/>
    <x v="0"/>
    <x v="0"/>
    <n v="19"/>
    <s v="Spring"/>
    <s v="upstream"/>
    <s v="Restricted"/>
    <n v="7"/>
    <n v="0"/>
    <n v="0"/>
    <n v="0"/>
    <n v="0"/>
    <n v="0"/>
    <n v="0"/>
    <n v="0"/>
    <n v="0"/>
    <n v="0"/>
    <n v="0"/>
    <n v="7"/>
    <n v="1"/>
    <n v="3.5714285714285716"/>
    <m/>
    <m/>
    <m/>
  </r>
  <r>
    <d v="2002-04-24T00:00:00"/>
    <x v="0"/>
    <x v="1"/>
    <n v="19"/>
    <s v="Spring"/>
    <s v="upstream"/>
    <s v="Restricted"/>
    <n v="23"/>
    <n v="0"/>
    <n v="0"/>
    <n v="0"/>
    <n v="0"/>
    <n v="0"/>
    <n v="0"/>
    <n v="0"/>
    <n v="0"/>
    <n v="0"/>
    <n v="0"/>
    <n v="23"/>
    <n v="1"/>
    <n v="4.7826086956521738"/>
    <m/>
    <m/>
    <m/>
  </r>
  <r>
    <d v="2002-04-24T00:00:00"/>
    <x v="0"/>
    <x v="2"/>
    <n v="0.5"/>
    <s v="Spring"/>
    <s v="downstream"/>
    <s v="Restricted"/>
    <n v="0"/>
    <n v="0"/>
    <n v="0"/>
    <n v="0"/>
    <n v="0"/>
    <n v="0"/>
    <n v="0"/>
    <n v="0"/>
    <n v="0"/>
    <n v="0"/>
    <n v="0"/>
    <n v="0"/>
    <n v="0"/>
    <m/>
    <m/>
    <m/>
    <m/>
  </r>
  <r>
    <d v="2002-05-08T00:00:00"/>
    <x v="0"/>
    <x v="1"/>
    <n v="20"/>
    <s v="Spring"/>
    <s v="upstream"/>
    <s v="Restricted"/>
    <n v="0"/>
    <n v="0"/>
    <n v="0"/>
    <n v="0"/>
    <n v="0"/>
    <n v="0"/>
    <n v="0"/>
    <n v="0"/>
    <n v="0"/>
    <n v="0"/>
    <n v="2"/>
    <n v="2"/>
    <n v="1"/>
    <m/>
    <m/>
    <m/>
    <m/>
  </r>
  <r>
    <d v="2002-05-08T00:00:00"/>
    <x v="0"/>
    <x v="0"/>
    <n v="20"/>
    <s v="Spring"/>
    <s v="upstream"/>
    <s v="Restricted"/>
    <n v="0"/>
    <n v="0"/>
    <n v="0"/>
    <n v="0"/>
    <n v="1"/>
    <n v="0"/>
    <n v="0"/>
    <n v="0"/>
    <n v="0"/>
    <n v="0"/>
    <n v="0"/>
    <n v="1"/>
    <n v="1"/>
    <m/>
    <n v="10"/>
    <m/>
    <m/>
  </r>
  <r>
    <d v="2002-05-08T00:00:00"/>
    <x v="0"/>
    <x v="2"/>
    <n v="0.5"/>
    <s v="Spring"/>
    <s v="downstream"/>
    <s v="Restricted"/>
    <n v="0"/>
    <n v="0"/>
    <n v="0"/>
    <n v="0"/>
    <n v="0"/>
    <n v="0"/>
    <n v="0"/>
    <n v="0"/>
    <n v="0"/>
    <n v="0"/>
    <n v="0"/>
    <n v="0"/>
    <n v="0"/>
    <m/>
    <m/>
    <m/>
    <m/>
  </r>
  <r>
    <d v="2002-05-22T00:00:00"/>
    <x v="0"/>
    <x v="0"/>
    <n v="20.5"/>
    <s v="Spring"/>
    <s v="upstream"/>
    <s v="Restricted"/>
    <n v="1"/>
    <n v="0"/>
    <n v="0"/>
    <n v="0"/>
    <n v="0"/>
    <n v="0"/>
    <n v="0"/>
    <n v="0"/>
    <n v="0"/>
    <n v="0"/>
    <n v="0"/>
    <n v="1"/>
    <n v="1"/>
    <n v="5"/>
    <m/>
    <m/>
    <m/>
  </r>
  <r>
    <d v="2002-05-22T00:00:00"/>
    <x v="0"/>
    <x v="2"/>
    <n v="0.5"/>
    <s v="Spring"/>
    <s v="downstream"/>
    <s v="Restricted"/>
    <n v="0"/>
    <n v="0"/>
    <n v="0"/>
    <n v="0"/>
    <n v="0"/>
    <n v="0"/>
    <n v="0"/>
    <n v="0"/>
    <n v="0"/>
    <n v="0"/>
    <n v="0"/>
    <n v="0"/>
    <n v="0"/>
    <m/>
    <m/>
    <m/>
    <m/>
  </r>
  <r>
    <d v="2003-06-03T00:00:00"/>
    <x v="1"/>
    <x v="3"/>
    <n v="26"/>
    <s v="Spring"/>
    <s v="downstream"/>
    <s v="Restricted"/>
    <n v="14"/>
    <n v="0"/>
    <n v="0"/>
    <n v="0"/>
    <n v="0"/>
    <n v="0"/>
    <n v="0"/>
    <n v="2"/>
    <n v="0"/>
    <n v="0"/>
    <n v="0"/>
    <n v="16"/>
    <n v="2"/>
    <n v="2.1"/>
    <m/>
    <m/>
    <m/>
  </r>
  <r>
    <d v="2003-06-03T00:00:00"/>
    <x v="1"/>
    <x v="1"/>
    <n v="27.5"/>
    <s v="Spring"/>
    <s v="upstream"/>
    <s v="Restricted"/>
    <n v="1"/>
    <n v="0"/>
    <n v="0"/>
    <n v="0"/>
    <n v="0"/>
    <n v="0"/>
    <n v="0"/>
    <n v="0"/>
    <n v="0"/>
    <n v="0"/>
    <n v="0"/>
    <n v="1"/>
    <n v="1"/>
    <n v="3"/>
    <m/>
    <m/>
    <m/>
  </r>
  <r>
    <d v="2004-06-25T00:00:00"/>
    <x v="2"/>
    <x v="3"/>
    <n v="13"/>
    <s v="Spring"/>
    <s v="downstream"/>
    <s v="Restored 1"/>
    <n v="35"/>
    <n v="0"/>
    <n v="0"/>
    <n v="0"/>
    <n v="0"/>
    <n v="0"/>
    <n v="0"/>
    <n v="0"/>
    <n v="12"/>
    <n v="0"/>
    <n v="0"/>
    <n v="47"/>
    <n v="2"/>
    <n v="4.2"/>
    <m/>
    <n v="7"/>
    <m/>
  </r>
  <r>
    <d v="2004-06-25T00:00:00"/>
    <x v="2"/>
    <x v="4"/>
    <n v="13"/>
    <s v="Spring"/>
    <s v="downstream"/>
    <s v="Restored 1"/>
    <n v="0"/>
    <n v="0"/>
    <n v="0"/>
    <n v="0"/>
    <n v="0"/>
    <n v="0"/>
    <n v="0"/>
    <n v="0"/>
    <n v="0"/>
    <n v="0"/>
    <n v="0"/>
    <n v="0"/>
    <n v="0"/>
    <m/>
    <m/>
    <m/>
    <m/>
  </r>
  <r>
    <d v="2004-06-25T00:00:00"/>
    <x v="2"/>
    <x v="1"/>
    <n v="13"/>
    <s v="Spring"/>
    <s v="upstream"/>
    <s v="Restored 1"/>
    <n v="14"/>
    <n v="1"/>
    <n v="0"/>
    <n v="0"/>
    <n v="0"/>
    <n v="0"/>
    <n v="0"/>
    <n v="0"/>
    <n v="0"/>
    <n v="0"/>
    <n v="0"/>
    <n v="15"/>
    <n v="2"/>
    <n v="3.6"/>
    <m/>
    <m/>
    <m/>
  </r>
  <r>
    <d v="2004-06-25T00:00:00"/>
    <x v="2"/>
    <x v="0"/>
    <n v="13"/>
    <s v="Spring"/>
    <s v="upstream"/>
    <s v="Restored 1"/>
    <n v="13"/>
    <n v="0"/>
    <n v="0"/>
    <n v="0"/>
    <n v="0"/>
    <n v="0"/>
    <n v="0"/>
    <n v="0"/>
    <n v="0"/>
    <n v="0"/>
    <n v="0"/>
    <n v="13"/>
    <n v="1"/>
    <n v="3.6"/>
    <m/>
    <m/>
    <m/>
  </r>
  <r>
    <d v="2004-09-23T00:00:00"/>
    <x v="2"/>
    <x v="3"/>
    <n v="14"/>
    <s v="Fall"/>
    <s v="downstream"/>
    <s v="Restored 1"/>
    <n v="133"/>
    <n v="0"/>
    <n v="1"/>
    <n v="1"/>
    <n v="0"/>
    <n v="0"/>
    <n v="0"/>
    <n v="0"/>
    <n v="5"/>
    <n v="0"/>
    <n v="0"/>
    <n v="140"/>
    <n v="4"/>
    <n v="2.030075187969925"/>
    <m/>
    <n v="5"/>
    <m/>
  </r>
  <r>
    <d v="2004-09-23T00:00:00"/>
    <x v="2"/>
    <x v="4"/>
    <n v="14"/>
    <s v="Fall"/>
    <s v="downstream"/>
    <s v="Restored 1"/>
    <n v="124"/>
    <n v="0"/>
    <n v="0"/>
    <n v="0"/>
    <n v="0"/>
    <n v="0"/>
    <n v="0"/>
    <n v="0"/>
    <n v="2"/>
    <n v="0"/>
    <n v="0"/>
    <n v="126"/>
    <n v="2"/>
    <n v="1.6935483870967742"/>
    <m/>
    <n v="5"/>
    <m/>
  </r>
  <r>
    <d v="2004-09-23T00:00:00"/>
    <x v="2"/>
    <x v="1"/>
    <n v="17.5"/>
    <s v="Fall"/>
    <s v="upstream"/>
    <s v="Restored 1"/>
    <n v="78"/>
    <n v="0"/>
    <n v="0"/>
    <n v="1"/>
    <n v="0"/>
    <n v="0"/>
    <n v="0"/>
    <n v="0"/>
    <n v="3"/>
    <n v="0"/>
    <n v="0"/>
    <n v="82"/>
    <n v="3"/>
    <n v="2.6923076923076925"/>
    <m/>
    <n v="5"/>
    <m/>
  </r>
  <r>
    <d v="2004-09-23T00:00:00"/>
    <x v="2"/>
    <x v="0"/>
    <n v="17.5"/>
    <s v="Fall"/>
    <s v="upstream"/>
    <s v="Restored 1"/>
    <n v="37"/>
    <n v="0"/>
    <n v="0"/>
    <n v="0"/>
    <n v="0"/>
    <n v="0"/>
    <n v="0"/>
    <n v="0"/>
    <n v="2"/>
    <n v="0"/>
    <n v="0"/>
    <n v="39"/>
    <n v="2"/>
    <n v="1.8918918918918919"/>
    <m/>
    <n v="5"/>
    <m/>
  </r>
  <r>
    <d v="2005-07-07T00:00:00"/>
    <x v="3"/>
    <x v="3"/>
    <n v="15"/>
    <s v="Summer"/>
    <s v="downstream"/>
    <s v="Restored 1"/>
    <n v="70"/>
    <n v="0"/>
    <n v="0"/>
    <n v="2"/>
    <n v="3"/>
    <n v="0"/>
    <n v="0"/>
    <n v="0"/>
    <n v="2"/>
    <n v="0"/>
    <n v="0"/>
    <n v="77"/>
    <n v="4"/>
    <n v="3.5714285714285716"/>
    <n v="9.3333333333333339"/>
    <n v="2.5"/>
    <m/>
  </r>
  <r>
    <d v="2005-07-07T00:00:00"/>
    <x v="3"/>
    <x v="4"/>
    <n v="15"/>
    <s v="Summer"/>
    <s v="downstream"/>
    <s v="Restored 1"/>
    <n v="101"/>
    <n v="0"/>
    <n v="0"/>
    <n v="0"/>
    <n v="0"/>
    <n v="0"/>
    <n v="0"/>
    <n v="0"/>
    <n v="2"/>
    <n v="0"/>
    <n v="0"/>
    <n v="103"/>
    <n v="2"/>
    <n v="4.0594059405940595"/>
    <m/>
    <n v="7.5"/>
    <m/>
  </r>
  <r>
    <d v="2005-07-07T00:00:00"/>
    <x v="3"/>
    <x v="1"/>
    <n v="15"/>
    <s v="Summer"/>
    <s v="upstream"/>
    <s v="Restored 1"/>
    <n v="25"/>
    <n v="0"/>
    <n v="7"/>
    <n v="0"/>
    <n v="0"/>
    <n v="0"/>
    <n v="0"/>
    <n v="0"/>
    <n v="4"/>
    <n v="0"/>
    <n v="0"/>
    <n v="36"/>
    <n v="3"/>
    <n v="3.4"/>
    <m/>
    <n v="5"/>
    <m/>
  </r>
  <r>
    <d v="2005-10-04T00:00:00"/>
    <x v="3"/>
    <x v="3"/>
    <n v="16"/>
    <s v="Fall"/>
    <s v="downstream"/>
    <s v="Restored 1"/>
    <n v="300"/>
    <n v="0"/>
    <n v="0"/>
    <n v="0"/>
    <n v="3"/>
    <n v="0"/>
    <n v="0"/>
    <n v="0"/>
    <n v="3"/>
    <n v="0"/>
    <n v="0"/>
    <n v="306"/>
    <n v="3"/>
    <n v="1.55"/>
    <n v="21.66"/>
    <n v="8.33"/>
    <m/>
  </r>
  <r>
    <d v="2005-10-04T00:00:00"/>
    <x v="3"/>
    <x v="4"/>
    <n v="16"/>
    <s v="Fall"/>
    <s v="downstream"/>
    <s v="Restored 1"/>
    <n v="153"/>
    <n v="0"/>
    <n v="0"/>
    <n v="0"/>
    <n v="0"/>
    <n v="0"/>
    <n v="0"/>
    <n v="0"/>
    <n v="1"/>
    <n v="0"/>
    <n v="0"/>
    <n v="154"/>
    <n v="2"/>
    <n v="2.4500000000000002"/>
    <m/>
    <n v="5"/>
    <m/>
  </r>
  <r>
    <d v="2005-10-04T00:00:00"/>
    <x v="3"/>
    <x v="1"/>
    <n v="16"/>
    <s v="Fall"/>
    <s v="upstream"/>
    <s v="Restored 1"/>
    <n v="123"/>
    <n v="0"/>
    <n v="0"/>
    <n v="0"/>
    <n v="1"/>
    <n v="0"/>
    <n v="0"/>
    <n v="0"/>
    <n v="0"/>
    <n v="0"/>
    <n v="0"/>
    <n v="124"/>
    <n v="2"/>
    <n v="4.0599999999999996"/>
    <n v="5"/>
    <n v="5"/>
    <m/>
  </r>
  <r>
    <d v="2005-10-04T00:00:00"/>
    <x v="3"/>
    <x v="0"/>
    <n v="16"/>
    <s v="Fall"/>
    <s v="upstream"/>
    <s v="Restored 1"/>
    <n v="161"/>
    <n v="0"/>
    <n v="0"/>
    <n v="0"/>
    <n v="0"/>
    <n v="0"/>
    <n v="0"/>
    <n v="0"/>
    <n v="2"/>
    <n v="0"/>
    <n v="0"/>
    <n v="163"/>
    <n v="2"/>
    <n v="2.82"/>
    <m/>
    <n v="5"/>
    <m/>
  </r>
  <r>
    <d v="2006-05-03T00:00:00"/>
    <x v="4"/>
    <x v="3"/>
    <n v="15"/>
    <s v="Spring"/>
    <s v="downstream"/>
    <s v="Restored 1"/>
    <n v="68"/>
    <n v="0"/>
    <n v="0"/>
    <n v="0"/>
    <n v="0"/>
    <n v="0"/>
    <n v="0"/>
    <n v="0"/>
    <n v="0"/>
    <n v="0"/>
    <n v="0"/>
    <n v="68"/>
    <n v="1"/>
    <n v="2.94"/>
    <m/>
    <m/>
    <m/>
  </r>
  <r>
    <d v="2006-05-03T00:00:00"/>
    <x v="4"/>
    <x v="4"/>
    <n v="15"/>
    <s v="Spring"/>
    <s v="downstream"/>
    <s v="Restored 1"/>
    <n v="4"/>
    <n v="0"/>
    <n v="0"/>
    <n v="0"/>
    <n v="1"/>
    <n v="0"/>
    <n v="0"/>
    <n v="0"/>
    <n v="0"/>
    <n v="0"/>
    <n v="0"/>
    <n v="5"/>
    <n v="2"/>
    <n v="2.5"/>
    <n v="10"/>
    <m/>
    <m/>
  </r>
  <r>
    <d v="2006-05-03T00:00:00"/>
    <x v="4"/>
    <x v="1"/>
    <n v="13"/>
    <s v="Spring"/>
    <s v="upstream"/>
    <s v="Restored 1"/>
    <n v="373"/>
    <n v="1"/>
    <n v="1"/>
    <n v="0"/>
    <n v="0"/>
    <n v="0"/>
    <n v="0"/>
    <n v="0"/>
    <n v="0"/>
    <n v="0"/>
    <n v="0"/>
    <n v="375"/>
    <n v="3"/>
    <n v="2.27"/>
    <m/>
    <m/>
    <m/>
  </r>
  <r>
    <d v="2006-05-03T00:00:00"/>
    <x v="4"/>
    <x v="0"/>
    <n v="6"/>
    <s v="Spring"/>
    <s v="upstream"/>
    <s v="Restored 1"/>
    <n v="30"/>
    <n v="0"/>
    <n v="0"/>
    <n v="0"/>
    <n v="0"/>
    <n v="0"/>
    <n v="0"/>
    <n v="0"/>
    <n v="0"/>
    <n v="0"/>
    <n v="0"/>
    <n v="30"/>
    <n v="1"/>
    <n v="2.16"/>
    <m/>
    <m/>
    <m/>
  </r>
  <r>
    <d v="2006-11-07T00:00:00"/>
    <x v="4"/>
    <x v="3"/>
    <n v="17"/>
    <s v="Fall"/>
    <s v="downstream"/>
    <s v="Restored 1"/>
    <n v="92"/>
    <n v="0"/>
    <n v="1"/>
    <n v="0"/>
    <n v="1"/>
    <n v="0"/>
    <n v="0"/>
    <n v="0"/>
    <n v="2"/>
    <n v="0"/>
    <n v="0"/>
    <n v="96"/>
    <n v="4"/>
    <n v="3.8043478260869565"/>
    <n v="5"/>
    <n v="10"/>
    <m/>
  </r>
  <r>
    <d v="2006-11-07T00:00:00"/>
    <x v="4"/>
    <x v="4"/>
    <n v="19.5"/>
    <s v="Fall"/>
    <s v="downstream"/>
    <s v="Restored 1"/>
    <n v="102"/>
    <n v="0"/>
    <n v="1"/>
    <n v="0"/>
    <n v="0"/>
    <n v="0"/>
    <n v="0"/>
    <n v="0"/>
    <n v="2"/>
    <n v="0"/>
    <n v="0"/>
    <n v="105"/>
    <n v="3"/>
    <n v="2.1568627450980391"/>
    <m/>
    <n v="2.5"/>
    <m/>
  </r>
  <r>
    <d v="2006-11-07T00:00:00"/>
    <x v="4"/>
    <x v="1"/>
    <n v="19.5"/>
    <s v="Fall"/>
    <s v="upstream"/>
    <s v="Restored 1"/>
    <n v="68"/>
    <n v="0"/>
    <n v="5"/>
    <n v="0"/>
    <n v="0"/>
    <n v="0"/>
    <n v="0"/>
    <n v="0"/>
    <n v="0"/>
    <n v="0"/>
    <n v="0"/>
    <n v="73"/>
    <n v="2"/>
    <n v="4.2647058823529411"/>
    <m/>
    <m/>
    <m/>
  </r>
  <r>
    <d v="2006-11-07T00:00:00"/>
    <x v="4"/>
    <x v="0"/>
    <n v="19.5"/>
    <s v="Fall"/>
    <s v="upstream"/>
    <s v="Restored 1"/>
    <n v="355"/>
    <n v="0"/>
    <n v="1"/>
    <n v="0"/>
    <n v="0"/>
    <n v="0"/>
    <n v="0"/>
    <n v="0"/>
    <n v="0"/>
    <n v="0"/>
    <n v="0"/>
    <n v="356"/>
    <n v="2"/>
    <n v="1.267605633802817"/>
    <m/>
    <m/>
    <m/>
  </r>
  <r>
    <d v="2007-10-31T00:00:00"/>
    <x v="5"/>
    <x v="3"/>
    <n v="20.5"/>
    <s v="Fall"/>
    <s v="downstream"/>
    <s v="Restored 1"/>
    <n v="325"/>
    <n v="0"/>
    <n v="0"/>
    <n v="0"/>
    <n v="0"/>
    <n v="0"/>
    <n v="0"/>
    <n v="0"/>
    <n v="1"/>
    <n v="0"/>
    <n v="0"/>
    <n v="133"/>
    <n v="2"/>
    <n v="2.4"/>
    <m/>
    <n v="5"/>
    <m/>
  </r>
  <r>
    <d v="2007-10-31T00:00:00"/>
    <x v="5"/>
    <x v="4"/>
    <n v="20.5"/>
    <s v="Fall"/>
    <s v="downstream"/>
    <s v="Restored 1"/>
    <n v="300"/>
    <n v="0"/>
    <n v="0"/>
    <n v="0"/>
    <n v="0"/>
    <n v="0"/>
    <n v="0"/>
    <n v="0"/>
    <n v="1"/>
    <n v="0"/>
    <n v="0"/>
    <n v="153"/>
    <n v="2"/>
    <n v="1.96"/>
    <m/>
    <n v="1"/>
    <m/>
  </r>
  <r>
    <d v="2007-10-31T00:00:00"/>
    <x v="5"/>
    <x v="1"/>
    <n v="20.5"/>
    <s v="Fall"/>
    <s v="upstream"/>
    <s v="Restored 1"/>
    <n v="680"/>
    <n v="0"/>
    <n v="0"/>
    <n v="0"/>
    <n v="0"/>
    <n v="0"/>
    <n v="0"/>
    <n v="0"/>
    <n v="2"/>
    <n v="0"/>
    <n v="0"/>
    <n v="184"/>
    <n v="2"/>
    <n v="3.69"/>
    <m/>
    <n v="12.5"/>
    <m/>
  </r>
  <r>
    <d v="2007-10-31T00:00:00"/>
    <x v="5"/>
    <x v="0"/>
    <n v="20.5"/>
    <s v="Fall"/>
    <s v="upstream"/>
    <s v="Restored 1"/>
    <n v="656"/>
    <n v="0"/>
    <n v="0"/>
    <n v="0"/>
    <n v="0"/>
    <n v="0"/>
    <n v="0"/>
    <n v="0"/>
    <n v="0"/>
    <n v="0"/>
    <n v="0"/>
    <n v="236"/>
    <n v="1"/>
    <n v="2.77"/>
    <m/>
    <n v="2.77"/>
    <m/>
  </r>
  <r>
    <d v="2008-10-31T00:00:00"/>
    <x v="6"/>
    <x v="3"/>
    <n v="20.5"/>
    <s v="Fall"/>
    <s v="downstream"/>
    <s v="Restored 1"/>
    <n v="133"/>
    <n v="0"/>
    <n v="0"/>
    <n v="0"/>
    <n v="0"/>
    <n v="0"/>
    <n v="0"/>
    <n v="0"/>
    <n v="1"/>
    <n v="0"/>
    <n v="0"/>
    <n v="134"/>
    <n v="2"/>
    <n v="2.4436090225563909"/>
    <m/>
    <n v="5"/>
    <m/>
  </r>
  <r>
    <d v="2008-10-31T00:00:00"/>
    <x v="6"/>
    <x v="4"/>
    <n v="20.5"/>
    <s v="Fall"/>
    <s v="downstream"/>
    <s v="Restored 1"/>
    <n v="153"/>
    <n v="0"/>
    <n v="0"/>
    <n v="0"/>
    <n v="0"/>
    <n v="0"/>
    <n v="0"/>
    <n v="0"/>
    <n v="1"/>
    <n v="0"/>
    <n v="0"/>
    <n v="154"/>
    <n v="2"/>
    <n v="1.9607843137254901"/>
    <m/>
    <n v="1"/>
    <m/>
  </r>
  <r>
    <d v="2008-10-31T00:00:00"/>
    <x v="6"/>
    <x v="1"/>
    <n v="20.5"/>
    <s v="Fall"/>
    <s v="upstream"/>
    <s v="Restored 1"/>
    <n v="184"/>
    <n v="0"/>
    <n v="0"/>
    <n v="0"/>
    <n v="0"/>
    <n v="0"/>
    <n v="0"/>
    <n v="0"/>
    <n v="2"/>
    <n v="0"/>
    <n v="0"/>
    <n v="186"/>
    <n v="2"/>
    <n v="3.6956521739130435"/>
    <m/>
    <n v="12.5"/>
    <m/>
  </r>
  <r>
    <d v="2008-10-31T00:00:00"/>
    <x v="6"/>
    <x v="0"/>
    <n v="20.5"/>
    <s v="Fall"/>
    <s v="upstream"/>
    <s v="Restored 1"/>
    <n v="236"/>
    <n v="0"/>
    <n v="0"/>
    <n v="0"/>
    <n v="0"/>
    <n v="0"/>
    <n v="0"/>
    <n v="0"/>
    <n v="0"/>
    <n v="0"/>
    <n v="0"/>
    <n v="236"/>
    <n v="1"/>
    <n v="2.7796610169491527"/>
    <m/>
    <m/>
    <m/>
  </r>
  <r>
    <d v="2008-10-23T00:00:00"/>
    <x v="6"/>
    <x v="3"/>
    <n v="23.5"/>
    <s v="Fall"/>
    <s v="downstream"/>
    <s v="Restored 1"/>
    <n v="72"/>
    <n v="0"/>
    <n v="0"/>
    <n v="0"/>
    <n v="0"/>
    <n v="0"/>
    <n v="0"/>
    <n v="0"/>
    <n v="12"/>
    <n v="0"/>
    <n v="0"/>
    <n v="84"/>
    <n v="2"/>
    <n v="2.7777777777777777"/>
    <m/>
    <m/>
    <m/>
  </r>
  <r>
    <d v="2008-10-23T00:00:00"/>
    <x v="6"/>
    <x v="4"/>
    <n v="24"/>
    <s v="Fall"/>
    <s v="downstream"/>
    <s v="Restored 1"/>
    <n v="12"/>
    <n v="0"/>
    <n v="0"/>
    <n v="0"/>
    <n v="0"/>
    <n v="0"/>
    <n v="1"/>
    <n v="0"/>
    <n v="5"/>
    <n v="0"/>
    <n v="0"/>
    <n v="18"/>
    <n v="3"/>
    <n v="3.0833333333333335"/>
    <m/>
    <m/>
    <m/>
  </r>
  <r>
    <d v="2008-10-23T00:00:00"/>
    <x v="6"/>
    <x v="1"/>
    <n v="23.5"/>
    <s v="Fall"/>
    <s v="upstream"/>
    <s v="Restored 1"/>
    <n v="70"/>
    <n v="0"/>
    <n v="0"/>
    <n v="0"/>
    <n v="0"/>
    <n v="0"/>
    <n v="0"/>
    <n v="0"/>
    <n v="67"/>
    <n v="0"/>
    <n v="0"/>
    <n v="137"/>
    <n v="2"/>
    <n v="3.5714285714285716"/>
    <m/>
    <m/>
    <m/>
  </r>
  <r>
    <d v="2008-10-23T00:00:00"/>
    <x v="6"/>
    <x v="0"/>
    <n v="23.5"/>
    <s v="Fall"/>
    <s v="upstream"/>
    <s v="Restored 1"/>
    <n v="201"/>
    <n v="0"/>
    <n v="0"/>
    <n v="0"/>
    <n v="0"/>
    <n v="0"/>
    <n v="0"/>
    <n v="0"/>
    <n v="11"/>
    <n v="0"/>
    <n v="0"/>
    <n v="212"/>
    <n v="2"/>
    <n v="2.2885572139303481"/>
    <m/>
    <m/>
    <m/>
  </r>
  <r>
    <d v="2009-11-04T00:00:00"/>
    <x v="7"/>
    <x v="3"/>
    <n v="24"/>
    <s v="Fall"/>
    <s v="downstream"/>
    <s v="Restored 1"/>
    <n v="31"/>
    <n v="0"/>
    <n v="0"/>
    <n v="0"/>
    <n v="0"/>
    <n v="0"/>
    <n v="0"/>
    <n v="0"/>
    <n v="59"/>
    <n v="1"/>
    <n v="0"/>
    <n v="91"/>
    <n v="3"/>
    <n v="5"/>
    <m/>
    <n v="4.4915254237288131"/>
    <m/>
  </r>
  <r>
    <d v="2009-11-04T00:00:00"/>
    <x v="7"/>
    <x v="4"/>
    <n v="24"/>
    <s v="Fall"/>
    <s v="downstream"/>
    <s v="Restored 1"/>
    <n v="13"/>
    <n v="0"/>
    <n v="0"/>
    <n v="0"/>
    <n v="0"/>
    <n v="0"/>
    <n v="6"/>
    <n v="0"/>
    <n v="9"/>
    <n v="0"/>
    <n v="0"/>
    <n v="28"/>
    <n v="3"/>
    <n v="6.5384615384615383"/>
    <m/>
    <n v="4.4444444444444446"/>
    <m/>
  </r>
  <r>
    <d v="2009-11-04T00:00:00"/>
    <x v="7"/>
    <x v="1"/>
    <n v="24"/>
    <s v="Fall"/>
    <s v="upstream"/>
    <s v="Restored 1"/>
    <n v="8"/>
    <n v="0"/>
    <n v="1"/>
    <n v="0"/>
    <n v="0"/>
    <n v="0"/>
    <n v="9"/>
    <n v="0"/>
    <n v="2"/>
    <n v="0"/>
    <n v="0"/>
    <n v="20"/>
    <n v="4"/>
    <n v="5"/>
    <m/>
    <n v="2.5"/>
    <m/>
  </r>
  <r>
    <d v="2010-10-18T00:00:00"/>
    <x v="8"/>
    <x v="3"/>
    <n v="26"/>
    <s v="Fall"/>
    <s v="downstream"/>
    <s v="Restored 1"/>
    <n v="93"/>
    <n v="0"/>
    <n v="0"/>
    <n v="0"/>
    <n v="0"/>
    <n v="0"/>
    <n v="4"/>
    <n v="0"/>
    <m/>
    <n v="0"/>
    <n v="0"/>
    <n v="97"/>
    <n v="2"/>
    <n v="2.6"/>
    <m/>
    <m/>
    <m/>
  </r>
  <r>
    <d v="2010-10-18T00:00:00"/>
    <x v="8"/>
    <x v="4"/>
    <n v="26"/>
    <s v="Fall"/>
    <s v="downstream"/>
    <s v="Restored 1"/>
    <n v="7"/>
    <n v="0"/>
    <n v="0"/>
    <n v="0"/>
    <n v="0"/>
    <n v="0"/>
    <n v="2"/>
    <n v="0"/>
    <n v="2"/>
    <n v="0"/>
    <n v="0"/>
    <n v="11"/>
    <n v="3"/>
    <n v="3.4"/>
    <m/>
    <n v="1"/>
    <m/>
  </r>
  <r>
    <d v="2010-10-18T00:00:00"/>
    <x v="8"/>
    <x v="1"/>
    <n v="26"/>
    <s v="Fall"/>
    <s v="upstream"/>
    <s v="Restored 1"/>
    <n v="140"/>
    <n v="0"/>
    <n v="0"/>
    <n v="0"/>
    <n v="0"/>
    <n v="0"/>
    <n v="0"/>
    <n v="0"/>
    <n v="1"/>
    <n v="0"/>
    <n v="0"/>
    <n v="141"/>
    <n v="2"/>
    <n v="4"/>
    <m/>
    <n v="5"/>
    <m/>
  </r>
  <r>
    <d v="2010-10-18T00:00:00"/>
    <x v="8"/>
    <x v="0"/>
    <n v="26"/>
    <s v="Fall"/>
    <s v="upstream"/>
    <s v="Restored 1"/>
    <n v="269"/>
    <n v="0"/>
    <n v="0"/>
    <n v="0"/>
    <n v="0"/>
    <n v="0"/>
    <n v="1"/>
    <n v="0"/>
    <n v="1"/>
    <n v="1"/>
    <n v="0"/>
    <n v="272"/>
    <n v="4"/>
    <n v="2.16"/>
    <m/>
    <n v="5"/>
    <m/>
  </r>
  <r>
    <d v="2011-11-15T00:00:00"/>
    <x v="9"/>
    <x v="3"/>
    <n v="27.5"/>
    <s v="Fall"/>
    <s v="downstream"/>
    <s v="Restored 1"/>
    <n v="52"/>
    <n v="0"/>
    <n v="0"/>
    <n v="0"/>
    <n v="0"/>
    <n v="0"/>
    <n v="1"/>
    <n v="0"/>
    <n v="5"/>
    <n v="0"/>
    <n v="0"/>
    <n v="58"/>
    <n v="3"/>
    <n v="3.0769230769230771"/>
    <m/>
    <n v="5"/>
    <m/>
  </r>
  <r>
    <d v="2011-11-15T00:00:00"/>
    <x v="9"/>
    <x v="4"/>
    <n v="27.5"/>
    <s v="Fall"/>
    <s v="downstream"/>
    <s v="Restored 1"/>
    <n v="40"/>
    <n v="0"/>
    <n v="0"/>
    <n v="0"/>
    <n v="0"/>
    <n v="0"/>
    <n v="0"/>
    <n v="0"/>
    <m/>
    <n v="0"/>
    <n v="0"/>
    <n v="40"/>
    <n v="1"/>
    <n v="2.2222222222222223"/>
    <m/>
    <m/>
    <m/>
  </r>
  <r>
    <d v="2011-11-15T00:00:00"/>
    <x v="9"/>
    <x v="1"/>
    <n v="27.5"/>
    <s v="Fall"/>
    <s v="upstream"/>
    <s v="Restored 1"/>
    <n v="207"/>
    <n v="0"/>
    <n v="0"/>
    <n v="0"/>
    <n v="2"/>
    <n v="0"/>
    <n v="0"/>
    <n v="0"/>
    <n v="7"/>
    <n v="0"/>
    <n v="0"/>
    <n v="216"/>
    <n v="3"/>
    <n v="4.2512077294685993"/>
    <n v="7.5"/>
    <n v="3.5714285714285716"/>
    <m/>
  </r>
  <r>
    <d v="2011-11-15T00:00:00"/>
    <x v="9"/>
    <x v="0"/>
    <n v="27.5"/>
    <s v="Fall"/>
    <s v="upstream"/>
    <s v="Restored 1"/>
    <n v="260"/>
    <n v="0"/>
    <n v="0"/>
    <n v="0"/>
    <n v="0"/>
    <n v="0"/>
    <n v="0"/>
    <n v="0"/>
    <n v="5"/>
    <n v="0"/>
    <n v="0"/>
    <n v="265"/>
    <n v="2"/>
    <n v="3.0384615384615383"/>
    <m/>
    <n v="3.6"/>
    <m/>
  </r>
  <r>
    <d v="2012-10-01T00:00:00"/>
    <x v="10"/>
    <x v="3"/>
    <n v="20.5"/>
    <s v="Fall"/>
    <s v="downstream"/>
    <s v="Restored 1"/>
    <n v="253"/>
    <n v="0"/>
    <n v="0"/>
    <n v="0"/>
    <n v="0"/>
    <n v="3"/>
    <n v="0"/>
    <n v="0"/>
    <n v="2"/>
    <n v="0"/>
    <n v="0"/>
    <n v="258"/>
    <n v="3"/>
    <n v="1.8181818181818181"/>
    <m/>
    <n v="2"/>
    <m/>
  </r>
  <r>
    <d v="2012-10-01T00:00:00"/>
    <x v="10"/>
    <x v="4"/>
    <n v="20.5"/>
    <s v="Fall"/>
    <s v="downstream"/>
    <s v="Restored 1"/>
    <n v="193"/>
    <n v="0"/>
    <n v="0"/>
    <n v="0"/>
    <n v="0"/>
    <n v="0"/>
    <n v="0"/>
    <n v="0"/>
    <n v="1"/>
    <n v="0"/>
    <n v="0"/>
    <n v="194"/>
    <n v="2"/>
    <n v="1.5544041450777202"/>
    <m/>
    <n v="5"/>
    <m/>
  </r>
  <r>
    <d v="2012-10-01T00:00:00"/>
    <x v="10"/>
    <x v="1"/>
    <n v="20.5"/>
    <s v="Fall"/>
    <s v="upstream"/>
    <s v="Restored 1"/>
    <n v="124"/>
    <n v="0"/>
    <n v="0"/>
    <n v="0"/>
    <n v="0"/>
    <n v="0"/>
    <n v="0"/>
    <n v="0"/>
    <n v="2"/>
    <n v="0"/>
    <n v="0"/>
    <n v="126"/>
    <n v="2"/>
    <n v="3.5483870967741935"/>
    <m/>
    <n v="5"/>
    <m/>
  </r>
  <r>
    <d v="2012-10-01T00:00:00"/>
    <x v="10"/>
    <x v="0"/>
    <n v="16.5"/>
    <s v="Fall"/>
    <s v="upstream"/>
    <s v="Restored 1"/>
    <n v="72"/>
    <n v="0"/>
    <n v="0"/>
    <n v="0"/>
    <n v="0"/>
    <n v="0"/>
    <n v="0"/>
    <n v="0"/>
    <n v="13"/>
    <n v="0"/>
    <n v="0"/>
    <n v="85"/>
    <n v="2"/>
    <n v="4.833333333333333"/>
    <m/>
    <n v="7.6923076923076925"/>
    <m/>
  </r>
  <r>
    <d v="2013-10-28T00:00:00"/>
    <x v="11"/>
    <x v="3"/>
    <n v="26"/>
    <s v="Fall"/>
    <s v="downstream"/>
    <s v="Restored 1"/>
    <n v="4"/>
    <n v="0"/>
    <n v="0"/>
    <n v="0"/>
    <n v="0"/>
    <n v="8"/>
    <n v="0"/>
    <n v="0"/>
    <n v="0"/>
    <n v="0"/>
    <n v="0"/>
    <n v="12"/>
    <n v="2"/>
    <n v="2.5"/>
    <m/>
    <m/>
    <m/>
  </r>
  <r>
    <d v="2013-10-28T00:00:00"/>
    <x v="11"/>
    <x v="4"/>
    <n v="26"/>
    <s v="Fall"/>
    <s v="downstream"/>
    <s v="Restored 1"/>
    <n v="4"/>
    <n v="0"/>
    <n v="0"/>
    <n v="0"/>
    <n v="0"/>
    <n v="10"/>
    <n v="0"/>
    <n v="0"/>
    <n v="0"/>
    <n v="0"/>
    <n v="0"/>
    <n v="14"/>
    <n v="2"/>
    <n v="2.5"/>
    <m/>
    <m/>
    <m/>
  </r>
  <r>
    <d v="2013-10-28T00:00:00"/>
    <x v="11"/>
    <x v="1"/>
    <n v="26"/>
    <s v="Fall"/>
    <s v="upstream"/>
    <s v="Restored 1"/>
    <n v="46"/>
    <n v="0"/>
    <n v="0"/>
    <n v="0"/>
    <n v="0"/>
    <n v="1"/>
    <n v="0"/>
    <n v="0"/>
    <n v="0"/>
    <n v="0"/>
    <n v="0"/>
    <n v="47"/>
    <n v="2"/>
    <n v="3.4347826086956523"/>
    <m/>
    <m/>
    <m/>
  </r>
  <r>
    <d v="2013-10-28T00:00:00"/>
    <x v="11"/>
    <x v="0"/>
    <n v="26"/>
    <s v="Fall"/>
    <s v="upstream"/>
    <s v="Restored 1"/>
    <n v="79"/>
    <n v="0"/>
    <n v="0"/>
    <n v="0"/>
    <n v="0"/>
    <n v="10"/>
    <n v="0"/>
    <n v="0"/>
    <n v="0"/>
    <n v="3"/>
    <n v="0"/>
    <n v="92"/>
    <n v="3"/>
    <n v="2.240506329113924"/>
    <m/>
    <m/>
    <n v="8.3000000000000007"/>
  </r>
  <r>
    <d v="2014-10-22T00:00:00"/>
    <x v="12"/>
    <x v="3"/>
    <n v="18"/>
    <s v="Fall"/>
    <s v="downstream"/>
    <s v="Restored 1"/>
    <n v="133"/>
    <n v="0"/>
    <n v="0"/>
    <n v="0"/>
    <n v="0"/>
    <n v="4"/>
    <n v="0"/>
    <n v="0"/>
    <n v="4"/>
    <n v="0"/>
    <n v="0"/>
    <n v="141"/>
    <n v="3"/>
    <n v="2.518796992481203"/>
    <m/>
    <n v="5"/>
    <m/>
  </r>
  <r>
    <d v="2014-10-22T00:00:00"/>
    <x v="12"/>
    <x v="4"/>
    <n v="18"/>
    <s v="Fall"/>
    <s v="downstream"/>
    <s v="Restored 1"/>
    <n v="205"/>
    <n v="0"/>
    <n v="0"/>
    <n v="0"/>
    <n v="0"/>
    <n v="6"/>
    <n v="0"/>
    <n v="0"/>
    <n v="2"/>
    <n v="0"/>
    <n v="0"/>
    <n v="213"/>
    <n v="3"/>
    <n v="2.1804878048780489"/>
    <m/>
    <n v="1.5"/>
    <m/>
  </r>
  <r>
    <d v="2014-10-22T00:00:00"/>
    <x v="12"/>
    <x v="1"/>
    <n v="18"/>
    <s v="Fall"/>
    <s v="upstream"/>
    <s v="Restored 1"/>
    <n v="105"/>
    <n v="0"/>
    <n v="0"/>
    <n v="0"/>
    <n v="0"/>
    <n v="0"/>
    <n v="0"/>
    <n v="0"/>
    <n v="4"/>
    <n v="0"/>
    <n v="0"/>
    <n v="109"/>
    <n v="2"/>
    <n v="4.0476190476190474"/>
    <m/>
    <n v="8.75"/>
    <m/>
  </r>
  <r>
    <d v="2014-10-22T00:00:00"/>
    <x v="12"/>
    <x v="0"/>
    <n v="18"/>
    <s v="Fall"/>
    <s v="upstream"/>
    <s v="Restored 1"/>
    <n v="170"/>
    <n v="0"/>
    <n v="0"/>
    <n v="0"/>
    <n v="0"/>
    <n v="0"/>
    <n v="0"/>
    <n v="0"/>
    <n v="2"/>
    <n v="0"/>
    <n v="0"/>
    <n v="172"/>
    <n v="2"/>
    <n v="4.2823529411764705"/>
    <m/>
    <n v="7.5"/>
    <m/>
  </r>
  <r>
    <d v="2015-10-21T00:00:00"/>
    <x v="13"/>
    <x v="3"/>
    <n v="12"/>
    <s v="Fall"/>
    <s v="downstream"/>
    <s v="Restored 1"/>
    <n v="56"/>
    <n v="0"/>
    <n v="0"/>
    <n v="0"/>
    <n v="0"/>
    <n v="0"/>
    <n v="0"/>
    <n v="0"/>
    <n v="0"/>
    <n v="0"/>
    <n v="0"/>
    <n v="56"/>
    <n v="1"/>
    <n v="1.7857142857142858"/>
    <m/>
    <m/>
    <m/>
  </r>
  <r>
    <d v="2015-10-21T00:00:00"/>
    <x v="13"/>
    <x v="4"/>
    <n v="12"/>
    <s v="Fall"/>
    <s v="downstream"/>
    <s v="Restored 1"/>
    <n v="47"/>
    <n v="0"/>
    <n v="1"/>
    <n v="0"/>
    <n v="0"/>
    <n v="0"/>
    <n v="0"/>
    <n v="0"/>
    <n v="0"/>
    <n v="0"/>
    <n v="0"/>
    <n v="48"/>
    <n v="2"/>
    <n v="1.7021276595744681"/>
    <m/>
    <m/>
    <m/>
  </r>
  <r>
    <d v="2015-10-21T00:00:00"/>
    <x v="13"/>
    <x v="1"/>
    <n v="12"/>
    <s v="Fall"/>
    <s v="upstream"/>
    <s v="Restored 1"/>
    <n v="17"/>
    <n v="0"/>
    <n v="0"/>
    <n v="0"/>
    <n v="0"/>
    <n v="0"/>
    <n v="0"/>
    <n v="0"/>
    <n v="0"/>
    <n v="0"/>
    <n v="0"/>
    <n v="17"/>
    <n v="1"/>
    <n v="1.4705882352941178"/>
    <m/>
    <m/>
    <m/>
  </r>
  <r>
    <d v="2015-10-21T00:00:00"/>
    <x v="13"/>
    <x v="0"/>
    <n v="12"/>
    <s v="Fall"/>
    <s v="upstream"/>
    <s v="Restored 1"/>
    <n v="4"/>
    <n v="0"/>
    <n v="0"/>
    <n v="0"/>
    <n v="0"/>
    <n v="0"/>
    <n v="0"/>
    <n v="0"/>
    <n v="0"/>
    <n v="0"/>
    <n v="0"/>
    <n v="4"/>
    <n v="1"/>
    <n v="2.5"/>
    <m/>
    <m/>
    <m/>
  </r>
  <r>
    <d v="2016-05-10T00:00:00"/>
    <x v="14"/>
    <x v="3"/>
    <n v="1.25"/>
    <s v="Spring"/>
    <s v="downstream"/>
    <s v="Restored 1"/>
    <n v="44"/>
    <n v="0"/>
    <n v="0"/>
    <n v="0"/>
    <n v="0"/>
    <n v="0"/>
    <n v="0"/>
    <n v="0"/>
    <n v="0"/>
    <n v="0"/>
    <n v="0"/>
    <n v="44"/>
    <n v="1"/>
    <n v="2.2727272727272729"/>
    <m/>
    <m/>
    <m/>
  </r>
  <r>
    <d v="2016-05-10T00:00:00"/>
    <x v="14"/>
    <x v="4"/>
    <n v="2.25"/>
    <s v="Spring"/>
    <s v="downstream"/>
    <s v="Restored 1"/>
    <n v="9"/>
    <n v="0"/>
    <n v="0"/>
    <n v="0"/>
    <n v="0"/>
    <n v="0"/>
    <n v="0"/>
    <n v="0"/>
    <n v="0"/>
    <n v="0"/>
    <n v="0"/>
    <n v="9"/>
    <n v="1"/>
    <n v="1.6666666666666667"/>
    <m/>
    <m/>
    <m/>
  </r>
  <r>
    <d v="2016-05-10T00:00:00"/>
    <x v="14"/>
    <x v="1"/>
    <n v="2.25"/>
    <s v="Spring"/>
    <s v="upstream"/>
    <s v="Restored 1"/>
    <n v="0"/>
    <n v="0"/>
    <n v="0"/>
    <n v="0"/>
    <n v="0"/>
    <n v="0"/>
    <n v="0"/>
    <n v="0"/>
    <n v="0"/>
    <n v="0"/>
    <n v="0"/>
    <n v="0"/>
    <n v="0"/>
    <m/>
    <m/>
    <m/>
    <m/>
  </r>
  <r>
    <d v="2016-05-10T00:00:00"/>
    <x v="14"/>
    <x v="0"/>
    <n v="1.75"/>
    <s v="Spring"/>
    <s v="upstream"/>
    <s v="Restored 1"/>
    <n v="201"/>
    <n v="0"/>
    <n v="0"/>
    <n v="0"/>
    <n v="0"/>
    <n v="0"/>
    <n v="0"/>
    <n v="0"/>
    <n v="0"/>
    <n v="0"/>
    <n v="0"/>
    <n v="201"/>
    <n v="1"/>
    <n v="1.5671641791044777"/>
    <m/>
    <m/>
    <m/>
  </r>
  <r>
    <d v="2016-10-06T00:00:00"/>
    <x v="14"/>
    <x v="3"/>
    <n v="18"/>
    <s v="Fall"/>
    <s v="downstream"/>
    <s v="Restored 1"/>
    <n v="53"/>
    <n v="0"/>
    <n v="0"/>
    <n v="0"/>
    <n v="0"/>
    <n v="2"/>
    <n v="0"/>
    <n v="0"/>
    <n v="2"/>
    <n v="0"/>
    <n v="0"/>
    <n v="57"/>
    <n v="3"/>
    <n v="3.3018867924528301"/>
    <m/>
    <n v="2.5"/>
    <m/>
  </r>
  <r>
    <d v="2016-10-06T00:00:00"/>
    <x v="14"/>
    <x v="4"/>
    <n v="18"/>
    <s v="Fall"/>
    <s v="downstream"/>
    <s v="Restored 1"/>
    <n v="138"/>
    <n v="0"/>
    <n v="0"/>
    <n v="0"/>
    <n v="0"/>
    <n v="0"/>
    <n v="0"/>
    <n v="0"/>
    <n v="1"/>
    <n v="0"/>
    <n v="0"/>
    <n v="139"/>
    <n v="2"/>
    <n v="2.6086956521739131"/>
    <m/>
    <n v="5"/>
    <m/>
  </r>
  <r>
    <d v="2016-10-06T00:00:00"/>
    <x v="14"/>
    <x v="1"/>
    <n v="18"/>
    <s v="Fall"/>
    <s v="upstream"/>
    <s v="Restored 1"/>
    <n v="119"/>
    <n v="0"/>
    <n v="0"/>
    <n v="0"/>
    <n v="0"/>
    <n v="0"/>
    <n v="0"/>
    <n v="0"/>
    <n v="1"/>
    <n v="0"/>
    <n v="0"/>
    <n v="120"/>
    <n v="2"/>
    <n v="4.53781512605042"/>
    <m/>
    <n v="4"/>
    <m/>
  </r>
  <r>
    <d v="2016-10-06T00:00:00"/>
    <x v="14"/>
    <x v="0"/>
    <n v="18"/>
    <s v="Fall"/>
    <s v="upstream"/>
    <s v="Restored 1"/>
    <n v="206"/>
    <n v="0"/>
    <n v="0"/>
    <n v="0"/>
    <n v="0"/>
    <n v="2"/>
    <n v="0"/>
    <n v="0"/>
    <n v="4"/>
    <n v="0"/>
    <n v="0"/>
    <n v="212"/>
    <n v="3"/>
    <n v="5.0728155339805827"/>
    <m/>
    <n v="4"/>
    <m/>
  </r>
  <r>
    <d v="2017-05-18T00:00:00"/>
    <x v="15"/>
    <x v="3"/>
    <m/>
    <s v="Spring"/>
    <s v="downstream"/>
    <s v="Restored 1"/>
    <n v="13"/>
    <n v="0"/>
    <n v="0"/>
    <n v="0"/>
    <n v="0"/>
    <n v="0"/>
    <n v="0"/>
    <n v="0"/>
    <n v="0"/>
    <n v="0"/>
    <n v="0"/>
    <n v="13"/>
    <n v="1"/>
    <n v="8.6669999999999998"/>
    <m/>
    <m/>
    <m/>
  </r>
  <r>
    <d v="2017-05-18T00:00:00"/>
    <x v="15"/>
    <x v="4"/>
    <m/>
    <s v="Spring"/>
    <s v="downstream"/>
    <s v="Restored 1"/>
    <n v="9"/>
    <n v="0"/>
    <n v="0"/>
    <n v="0"/>
    <n v="1"/>
    <n v="0"/>
    <n v="0"/>
    <n v="0"/>
    <n v="0"/>
    <n v="0"/>
    <n v="0"/>
    <n v="10"/>
    <n v="2"/>
    <n v="5.5"/>
    <n v="20"/>
    <m/>
    <m/>
  </r>
  <r>
    <d v="2017-05-18T00:00:00"/>
    <x v="15"/>
    <x v="1"/>
    <m/>
    <s v="Spring"/>
    <s v="upstream"/>
    <s v="Restored 1"/>
    <n v="5"/>
    <n v="0"/>
    <n v="0"/>
    <n v="0"/>
    <n v="0"/>
    <n v="0"/>
    <n v="0"/>
    <n v="0"/>
    <n v="0"/>
    <n v="0"/>
    <n v="0"/>
    <n v="5"/>
    <n v="1"/>
    <n v="5"/>
    <m/>
    <m/>
    <m/>
  </r>
  <r>
    <d v="2017-05-18T00:00:00"/>
    <x v="15"/>
    <x v="0"/>
    <m/>
    <s v="Spring"/>
    <s v="upstream"/>
    <s v="Restored 1"/>
    <n v="26"/>
    <n v="0"/>
    <n v="0"/>
    <n v="0"/>
    <n v="0"/>
    <n v="0"/>
    <n v="0"/>
    <n v="0"/>
    <n v="0"/>
    <n v="0"/>
    <n v="0"/>
    <n v="26"/>
    <n v="1"/>
    <n v="3.02"/>
    <m/>
    <m/>
    <m/>
  </r>
  <r>
    <d v="2018-05-10T00:00:00"/>
    <x v="16"/>
    <x v="3"/>
    <n v="14"/>
    <s v="Spring"/>
    <s v="downstream"/>
    <s v="Restored 1"/>
    <n v="6"/>
    <n v="0"/>
    <n v="0"/>
    <n v="0"/>
    <n v="1"/>
    <n v="0"/>
    <n v="0"/>
    <n v="0"/>
    <n v="0"/>
    <n v="0"/>
    <n v="0"/>
    <n v="7"/>
    <n v="1"/>
    <n v="3"/>
    <m/>
    <m/>
    <m/>
  </r>
  <r>
    <d v="2018-05-10T00:00:00"/>
    <x v="16"/>
    <x v="4"/>
    <n v="14"/>
    <s v="Spring"/>
    <s v="downstream"/>
    <s v="Restored 1"/>
    <n v="3"/>
    <n v="0"/>
    <n v="0"/>
    <n v="0"/>
    <n v="0"/>
    <n v="0"/>
    <n v="0"/>
    <n v="0"/>
    <n v="0"/>
    <n v="0"/>
    <n v="0"/>
    <n v="3"/>
    <n v="1"/>
    <n v="2"/>
    <m/>
    <m/>
    <m/>
  </r>
  <r>
    <d v="2018-05-10T00:00:00"/>
    <x v="16"/>
    <x v="1"/>
    <n v="14"/>
    <s v="Spring"/>
    <s v="upstream"/>
    <s v="Restored 1"/>
    <n v="32"/>
    <n v="0"/>
    <n v="0"/>
    <n v="0"/>
    <n v="0"/>
    <n v="0"/>
    <n v="0"/>
    <n v="0"/>
    <n v="0"/>
    <n v="0"/>
    <n v="0"/>
    <n v="32"/>
    <n v="2"/>
    <n v="2.1875"/>
    <m/>
    <m/>
    <m/>
  </r>
  <r>
    <d v="2018-05-10T00:00:00"/>
    <x v="16"/>
    <x v="0"/>
    <n v="14"/>
    <s v="Spring"/>
    <s v="upstream"/>
    <s v="Restored 1"/>
    <n v="0"/>
    <n v="0"/>
    <n v="0"/>
    <n v="0"/>
    <n v="0"/>
    <n v="0"/>
    <n v="0"/>
    <n v="0"/>
    <n v="0"/>
    <n v="0"/>
    <n v="0"/>
    <n v="0"/>
    <n v="0"/>
    <m/>
    <m/>
    <m/>
    <m/>
  </r>
  <r>
    <d v="2018-10-19T00:00:00"/>
    <x v="16"/>
    <x v="3"/>
    <n v="16"/>
    <s v="Fall"/>
    <s v="downstream"/>
    <s v="Restored 1"/>
    <n v="8"/>
    <n v="0"/>
    <n v="0"/>
    <n v="0"/>
    <n v="0"/>
    <n v="0"/>
    <n v="0"/>
    <n v="0"/>
    <n v="1"/>
    <n v="0"/>
    <n v="0"/>
    <n v="9"/>
    <n v="2"/>
    <n v="2.5"/>
    <m/>
    <n v="1"/>
    <m/>
  </r>
  <r>
    <d v="2018-10-19T00:00:00"/>
    <x v="16"/>
    <x v="4"/>
    <n v="16"/>
    <s v="Fall"/>
    <s v="downstream"/>
    <s v="Restored 1"/>
    <n v="0"/>
    <n v="0"/>
    <n v="0"/>
    <n v="0"/>
    <n v="0"/>
    <n v="0"/>
    <n v="0"/>
    <n v="0"/>
    <n v="0"/>
    <n v="0"/>
    <n v="0"/>
    <n v="0"/>
    <n v="0"/>
    <m/>
    <m/>
    <m/>
    <m/>
  </r>
  <r>
    <d v="2018-10-19T00:00:00"/>
    <x v="16"/>
    <x v="1"/>
    <n v="16"/>
    <s v="Fall"/>
    <s v="upstream"/>
    <s v="Restored 1"/>
    <n v="150"/>
    <n v="0"/>
    <n v="0"/>
    <n v="0"/>
    <n v="0"/>
    <n v="0"/>
    <n v="0"/>
    <n v="0"/>
    <n v="0"/>
    <n v="0"/>
    <n v="0"/>
    <n v="150"/>
    <n v="1"/>
    <n v="3.0066666666666668"/>
    <m/>
    <m/>
    <m/>
  </r>
  <r>
    <d v="2018-10-19T00:00:00"/>
    <x v="16"/>
    <x v="0"/>
    <n v="16"/>
    <s v="Fall"/>
    <s v="upstream"/>
    <s v="Restored 1"/>
    <n v="162"/>
    <n v="0"/>
    <n v="0"/>
    <n v="0"/>
    <n v="0"/>
    <n v="0"/>
    <n v="0"/>
    <n v="0"/>
    <n v="0"/>
    <n v="0"/>
    <n v="0"/>
    <n v="162"/>
    <n v="1"/>
    <n v="2.4197530864197532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2">
  <r>
    <d v="2002-04-24T00:00:00"/>
    <n v="2002"/>
    <n v="4"/>
    <n v="19"/>
    <s v="Spring"/>
    <x v="0"/>
    <x v="0"/>
    <n v="7"/>
    <m/>
    <m/>
    <m/>
    <m/>
    <m/>
    <m/>
    <m/>
    <m/>
    <m/>
    <m/>
    <n v="7"/>
    <n v="1"/>
    <n v="3.5714285714285716"/>
    <m/>
    <m/>
  </r>
  <r>
    <d v="2002-04-24T00:00:00"/>
    <n v="2002"/>
    <n v="3"/>
    <n v="19"/>
    <s v="Spring"/>
    <x v="0"/>
    <x v="0"/>
    <n v="23"/>
    <m/>
    <m/>
    <m/>
    <m/>
    <m/>
    <m/>
    <m/>
    <m/>
    <m/>
    <m/>
    <n v="23"/>
    <n v="1"/>
    <n v="4.7826086956521738"/>
    <m/>
    <m/>
  </r>
  <r>
    <d v="2002-04-24T00:00:00"/>
    <n v="2002"/>
    <s v="Seine"/>
    <n v="0.5"/>
    <s v="Spring"/>
    <x v="1"/>
    <x v="0"/>
    <m/>
    <m/>
    <m/>
    <m/>
    <m/>
    <m/>
    <m/>
    <m/>
    <m/>
    <m/>
    <m/>
    <n v="0"/>
    <n v="0"/>
    <m/>
    <m/>
    <m/>
  </r>
  <r>
    <d v="2002-05-08T00:00:00"/>
    <n v="2002"/>
    <n v="3"/>
    <n v="20"/>
    <s v="Spring"/>
    <x v="0"/>
    <x v="0"/>
    <m/>
    <m/>
    <m/>
    <m/>
    <m/>
    <m/>
    <m/>
    <m/>
    <m/>
    <m/>
    <n v="2"/>
    <n v="2"/>
    <n v="1"/>
    <m/>
    <m/>
    <m/>
  </r>
  <r>
    <d v="2002-05-08T00:00:00"/>
    <n v="2002"/>
    <n v="4"/>
    <n v="20"/>
    <s v="Spring"/>
    <x v="0"/>
    <x v="0"/>
    <m/>
    <m/>
    <m/>
    <m/>
    <n v="1"/>
    <m/>
    <m/>
    <m/>
    <m/>
    <m/>
    <m/>
    <n v="1"/>
    <n v="1"/>
    <m/>
    <n v="10"/>
    <m/>
  </r>
  <r>
    <d v="2002-05-08T00:00:00"/>
    <n v="2002"/>
    <s v="Seine"/>
    <n v="0.5"/>
    <s v="Spring"/>
    <x v="1"/>
    <x v="0"/>
    <m/>
    <m/>
    <m/>
    <m/>
    <m/>
    <m/>
    <m/>
    <m/>
    <m/>
    <m/>
    <m/>
    <n v="0"/>
    <n v="0"/>
    <m/>
    <m/>
    <m/>
  </r>
  <r>
    <d v="2002-05-22T00:00:00"/>
    <n v="2002"/>
    <n v="4"/>
    <n v="20.5"/>
    <s v="Spring"/>
    <x v="0"/>
    <x v="0"/>
    <n v="1"/>
    <m/>
    <m/>
    <m/>
    <m/>
    <m/>
    <m/>
    <m/>
    <m/>
    <m/>
    <m/>
    <n v="1"/>
    <n v="1"/>
    <n v="5"/>
    <m/>
    <m/>
  </r>
  <r>
    <d v="2002-05-22T00:00:00"/>
    <n v="2002"/>
    <s v="Seine"/>
    <n v="0.5"/>
    <s v="Spring"/>
    <x v="1"/>
    <x v="0"/>
    <m/>
    <m/>
    <m/>
    <m/>
    <m/>
    <m/>
    <m/>
    <m/>
    <m/>
    <m/>
    <m/>
    <n v="0"/>
    <n v="0"/>
    <m/>
    <m/>
    <m/>
  </r>
  <r>
    <d v="2003-06-03T00:00:00"/>
    <n v="2003"/>
    <n v="1"/>
    <n v="26"/>
    <s v="Spring"/>
    <x v="1"/>
    <x v="0"/>
    <n v="14"/>
    <m/>
    <m/>
    <m/>
    <m/>
    <m/>
    <m/>
    <n v="2"/>
    <m/>
    <m/>
    <m/>
    <n v="16"/>
    <n v="2"/>
    <n v="2.1"/>
    <m/>
    <m/>
  </r>
  <r>
    <d v="2003-06-03T00:00:00"/>
    <n v="2003"/>
    <n v="3"/>
    <n v="27.5"/>
    <s v="Spring"/>
    <x v="0"/>
    <x v="0"/>
    <n v="1"/>
    <m/>
    <m/>
    <m/>
    <m/>
    <m/>
    <m/>
    <m/>
    <m/>
    <m/>
    <m/>
    <n v="1"/>
    <n v="1"/>
    <n v="3"/>
    <m/>
    <m/>
  </r>
  <r>
    <d v="2004-06-25T00:00:00"/>
    <n v="2004"/>
    <n v="1"/>
    <n v="13"/>
    <s v="Spring"/>
    <x v="1"/>
    <x v="1"/>
    <n v="35"/>
    <m/>
    <m/>
    <m/>
    <m/>
    <m/>
    <m/>
    <m/>
    <n v="12"/>
    <m/>
    <m/>
    <n v="47"/>
    <n v="2"/>
    <n v="4.2"/>
    <m/>
    <n v="7"/>
  </r>
  <r>
    <d v="2004-06-25T00:00:00"/>
    <n v="2004"/>
    <n v="2"/>
    <n v="13"/>
    <s v="Spring"/>
    <x v="1"/>
    <x v="1"/>
    <m/>
    <m/>
    <m/>
    <m/>
    <m/>
    <m/>
    <m/>
    <m/>
    <m/>
    <m/>
    <m/>
    <n v="0"/>
    <n v="0"/>
    <m/>
    <m/>
    <m/>
  </r>
  <r>
    <d v="2004-06-25T00:00:00"/>
    <n v="2004"/>
    <n v="3"/>
    <n v="13"/>
    <s v="Spring"/>
    <x v="0"/>
    <x v="1"/>
    <n v="14"/>
    <n v="1"/>
    <m/>
    <m/>
    <m/>
    <m/>
    <m/>
    <m/>
    <m/>
    <m/>
    <m/>
    <n v="15"/>
    <n v="2"/>
    <n v="3.6"/>
    <m/>
    <m/>
  </r>
  <r>
    <d v="2004-06-25T00:00:00"/>
    <n v="2004"/>
    <n v="4"/>
    <n v="13"/>
    <s v="Spring"/>
    <x v="0"/>
    <x v="1"/>
    <n v="13"/>
    <m/>
    <m/>
    <m/>
    <m/>
    <m/>
    <m/>
    <m/>
    <m/>
    <m/>
    <m/>
    <n v="13"/>
    <n v="1"/>
    <n v="3.6"/>
    <m/>
    <m/>
  </r>
  <r>
    <d v="2004-09-23T00:00:00"/>
    <n v="2004"/>
    <n v="1"/>
    <n v="14"/>
    <s v="Fall"/>
    <x v="1"/>
    <x v="1"/>
    <n v="133"/>
    <m/>
    <n v="1"/>
    <n v="1"/>
    <m/>
    <m/>
    <m/>
    <m/>
    <n v="5"/>
    <m/>
    <m/>
    <n v="140"/>
    <n v="4"/>
    <n v="2.030075187969925"/>
    <m/>
    <n v="5"/>
  </r>
  <r>
    <d v="2004-09-23T00:00:00"/>
    <n v="2004"/>
    <n v="2"/>
    <n v="14"/>
    <s v="Fall"/>
    <x v="1"/>
    <x v="1"/>
    <n v="124"/>
    <m/>
    <m/>
    <m/>
    <m/>
    <m/>
    <m/>
    <m/>
    <n v="2"/>
    <m/>
    <m/>
    <n v="126"/>
    <n v="2"/>
    <n v="1.6935483870967742"/>
    <m/>
    <n v="5"/>
  </r>
  <r>
    <d v="2004-09-23T00:00:00"/>
    <n v="2004"/>
    <n v="3"/>
    <n v="17.5"/>
    <s v="Fall"/>
    <x v="0"/>
    <x v="1"/>
    <n v="78"/>
    <m/>
    <m/>
    <n v="1"/>
    <m/>
    <m/>
    <m/>
    <m/>
    <n v="3"/>
    <m/>
    <m/>
    <n v="82"/>
    <n v="3"/>
    <n v="2.6923076923076925"/>
    <m/>
    <n v="5"/>
  </r>
  <r>
    <d v="2004-09-23T00:00:00"/>
    <n v="2004"/>
    <n v="4"/>
    <n v="17.5"/>
    <s v="Fall"/>
    <x v="0"/>
    <x v="1"/>
    <n v="37"/>
    <m/>
    <m/>
    <m/>
    <m/>
    <m/>
    <m/>
    <m/>
    <n v="2"/>
    <m/>
    <m/>
    <n v="39"/>
    <n v="2"/>
    <n v="1.8918918918918919"/>
    <m/>
    <n v="5"/>
  </r>
  <r>
    <d v="2005-07-07T00:00:00"/>
    <n v="2005"/>
    <n v="1"/>
    <n v="15"/>
    <s v="Summer"/>
    <x v="1"/>
    <x v="1"/>
    <n v="70"/>
    <m/>
    <m/>
    <n v="2"/>
    <n v="3"/>
    <m/>
    <m/>
    <m/>
    <n v="2"/>
    <m/>
    <m/>
    <n v="77"/>
    <n v="4"/>
    <n v="3.5714285714285716"/>
    <n v="9.3333333333333339"/>
    <n v="2.5"/>
  </r>
  <r>
    <d v="2005-07-07T00:00:00"/>
    <n v="2005"/>
    <n v="2"/>
    <n v="15"/>
    <s v="Summer"/>
    <x v="1"/>
    <x v="1"/>
    <n v="101"/>
    <m/>
    <m/>
    <m/>
    <m/>
    <m/>
    <m/>
    <m/>
    <n v="2"/>
    <m/>
    <m/>
    <n v="103"/>
    <n v="2"/>
    <n v="4.0594059405940595"/>
    <m/>
    <n v="7.5"/>
  </r>
  <r>
    <d v="2005-07-07T00:00:00"/>
    <n v="2005"/>
    <n v="3"/>
    <n v="15"/>
    <s v="Summer"/>
    <x v="0"/>
    <x v="1"/>
    <n v="25"/>
    <m/>
    <n v="7"/>
    <m/>
    <m/>
    <m/>
    <m/>
    <m/>
    <n v="4"/>
    <m/>
    <m/>
    <n v="36"/>
    <n v="3"/>
    <n v="3.4"/>
    <m/>
    <n v="5"/>
  </r>
  <r>
    <d v="2005-10-04T00:00:00"/>
    <n v="2005"/>
    <n v="1"/>
    <n v="16"/>
    <s v="Fall"/>
    <x v="1"/>
    <x v="1"/>
    <n v="3"/>
    <m/>
    <m/>
    <m/>
    <n v="3"/>
    <m/>
    <m/>
    <m/>
    <n v="3"/>
    <m/>
    <m/>
    <n v="9"/>
    <n v="3"/>
    <n v="1.55"/>
    <n v="21.66"/>
    <n v="8.33"/>
  </r>
  <r>
    <d v="2005-10-04T00:00:00"/>
    <n v="2005"/>
    <n v="2"/>
    <n v="16"/>
    <s v="Fall"/>
    <x v="1"/>
    <x v="1"/>
    <n v="153"/>
    <m/>
    <m/>
    <m/>
    <m/>
    <m/>
    <m/>
    <m/>
    <n v="1"/>
    <m/>
    <m/>
    <n v="154"/>
    <n v="2"/>
    <n v="2.4500000000000002"/>
    <m/>
    <n v="5"/>
  </r>
  <r>
    <d v="2005-10-04T00:00:00"/>
    <n v="2005"/>
    <n v="3"/>
    <n v="16"/>
    <s v="Fall"/>
    <x v="0"/>
    <x v="1"/>
    <n v="123"/>
    <m/>
    <m/>
    <m/>
    <n v="1"/>
    <m/>
    <m/>
    <m/>
    <m/>
    <m/>
    <m/>
    <n v="124"/>
    <n v="2"/>
    <n v="4.0599999999999996"/>
    <n v="5"/>
    <n v="5"/>
  </r>
  <r>
    <d v="2005-10-04T00:00:00"/>
    <n v="2005"/>
    <n v="4"/>
    <n v="16"/>
    <s v="Fall"/>
    <x v="0"/>
    <x v="1"/>
    <n v="161"/>
    <m/>
    <m/>
    <m/>
    <m/>
    <m/>
    <m/>
    <m/>
    <n v="2"/>
    <m/>
    <m/>
    <n v="163"/>
    <n v="2"/>
    <n v="2.82"/>
    <m/>
    <n v="5"/>
  </r>
  <r>
    <d v="2006-05-03T00:00:00"/>
    <n v="2006"/>
    <n v="1"/>
    <n v="15"/>
    <s v="Spring"/>
    <x v="1"/>
    <x v="1"/>
    <n v="68"/>
    <m/>
    <m/>
    <m/>
    <m/>
    <m/>
    <m/>
    <m/>
    <m/>
    <m/>
    <m/>
    <n v="68"/>
    <n v="1"/>
    <n v="2.94"/>
    <m/>
    <m/>
  </r>
  <r>
    <d v="2006-05-03T00:00:00"/>
    <n v="2006"/>
    <n v="2"/>
    <n v="15"/>
    <s v="Spring"/>
    <x v="1"/>
    <x v="1"/>
    <n v="4"/>
    <m/>
    <m/>
    <m/>
    <n v="1"/>
    <m/>
    <m/>
    <m/>
    <m/>
    <m/>
    <m/>
    <n v="5"/>
    <n v="2"/>
    <n v="2.5"/>
    <n v="10"/>
    <m/>
  </r>
  <r>
    <d v="2006-05-03T00:00:00"/>
    <n v="2006"/>
    <n v="3"/>
    <n v="13"/>
    <s v="Spring"/>
    <x v="0"/>
    <x v="1"/>
    <n v="373"/>
    <n v="1"/>
    <n v="1"/>
    <m/>
    <m/>
    <m/>
    <m/>
    <m/>
    <m/>
    <m/>
    <m/>
    <n v="375"/>
    <n v="3"/>
    <n v="2.27"/>
    <m/>
    <m/>
  </r>
  <r>
    <d v="2006-05-03T00:00:00"/>
    <n v="2006"/>
    <n v="4"/>
    <n v="6"/>
    <s v="Spring"/>
    <x v="0"/>
    <x v="1"/>
    <n v="3"/>
    <m/>
    <m/>
    <m/>
    <m/>
    <m/>
    <m/>
    <m/>
    <m/>
    <m/>
    <m/>
    <n v="3"/>
    <n v="1"/>
    <n v="2.16"/>
    <m/>
    <m/>
  </r>
  <r>
    <d v="2006-11-07T00:00:00"/>
    <n v="2006"/>
    <n v="1"/>
    <n v="17"/>
    <s v="Fall"/>
    <x v="1"/>
    <x v="1"/>
    <n v="92"/>
    <m/>
    <n v="1"/>
    <m/>
    <n v="1"/>
    <m/>
    <m/>
    <m/>
    <n v="2"/>
    <m/>
    <m/>
    <n v="96"/>
    <n v="4"/>
    <n v="3.8043478260869565"/>
    <n v="5"/>
    <n v="10"/>
  </r>
  <r>
    <d v="2006-11-07T00:00:00"/>
    <n v="2006"/>
    <n v="2"/>
    <n v="19.5"/>
    <s v="Fall"/>
    <x v="1"/>
    <x v="1"/>
    <n v="102"/>
    <m/>
    <n v="1"/>
    <m/>
    <m/>
    <m/>
    <m/>
    <m/>
    <n v="2"/>
    <m/>
    <m/>
    <n v="105"/>
    <n v="3"/>
    <n v="2.1568627450980391"/>
    <m/>
    <n v="2.5"/>
  </r>
  <r>
    <d v="2006-11-07T00:00:00"/>
    <n v="2006"/>
    <n v="3"/>
    <n v="19.5"/>
    <s v="Fall"/>
    <x v="0"/>
    <x v="1"/>
    <n v="68"/>
    <m/>
    <n v="5"/>
    <m/>
    <m/>
    <m/>
    <m/>
    <m/>
    <m/>
    <m/>
    <m/>
    <n v="73"/>
    <n v="2"/>
    <n v="4.2647058823529411"/>
    <m/>
    <m/>
  </r>
  <r>
    <d v="2006-11-07T00:00:00"/>
    <n v="2006"/>
    <n v="4"/>
    <n v="19.5"/>
    <s v="Fall"/>
    <x v="0"/>
    <x v="1"/>
    <n v="355"/>
    <m/>
    <n v="1"/>
    <m/>
    <m/>
    <m/>
    <m/>
    <m/>
    <m/>
    <m/>
    <m/>
    <n v="356"/>
    <n v="2"/>
    <n v="1.267605633802817"/>
    <m/>
    <m/>
  </r>
  <r>
    <d v="2007-10-31T00:00:00"/>
    <n v="2007"/>
    <n v="1"/>
    <n v="20.5"/>
    <s v="Fall"/>
    <x v="1"/>
    <x v="1"/>
    <n v="325"/>
    <m/>
    <m/>
    <m/>
    <m/>
    <m/>
    <m/>
    <m/>
    <n v="1"/>
    <m/>
    <m/>
    <n v="133"/>
    <n v="2"/>
    <n v="2.4"/>
    <m/>
    <n v="5"/>
  </r>
  <r>
    <d v="2007-10-31T00:00:00"/>
    <n v="2007"/>
    <n v="2"/>
    <n v="20.5"/>
    <s v="Fall"/>
    <x v="1"/>
    <x v="1"/>
    <n v="300"/>
    <m/>
    <m/>
    <m/>
    <m/>
    <m/>
    <m/>
    <m/>
    <n v="1"/>
    <m/>
    <m/>
    <n v="153"/>
    <n v="2"/>
    <n v="1.96"/>
    <m/>
    <n v="1"/>
  </r>
  <r>
    <d v="2007-10-31T00:00:00"/>
    <n v="2007"/>
    <n v="3"/>
    <n v="20.5"/>
    <s v="Fall"/>
    <x v="0"/>
    <x v="1"/>
    <n v="680"/>
    <m/>
    <m/>
    <m/>
    <m/>
    <m/>
    <m/>
    <m/>
    <n v="2"/>
    <m/>
    <m/>
    <n v="184"/>
    <n v="2"/>
    <n v="3.69"/>
    <m/>
    <n v="12.5"/>
  </r>
  <r>
    <d v="2007-10-31T00:00:00"/>
    <n v="2007"/>
    <n v="4"/>
    <n v="20.5"/>
    <s v="Fall"/>
    <x v="0"/>
    <x v="1"/>
    <n v="656"/>
    <m/>
    <m/>
    <m/>
    <m/>
    <m/>
    <m/>
    <m/>
    <m/>
    <m/>
    <m/>
    <n v="236"/>
    <n v="1"/>
    <n v="2.77"/>
    <m/>
    <n v="2.77"/>
  </r>
  <r>
    <d v="2008-10-31T00:00:00"/>
    <n v="2008"/>
    <n v="1"/>
    <n v="20.5"/>
    <s v="Fall"/>
    <x v="1"/>
    <x v="1"/>
    <n v="133"/>
    <m/>
    <m/>
    <m/>
    <m/>
    <m/>
    <m/>
    <m/>
    <n v="1"/>
    <m/>
    <m/>
    <n v="134"/>
    <n v="2"/>
    <n v="2.4436090225563909"/>
    <m/>
    <n v="5"/>
  </r>
  <r>
    <d v="2008-10-31T00:00:00"/>
    <n v="2008"/>
    <n v="2"/>
    <n v="20.5"/>
    <s v="Fall"/>
    <x v="1"/>
    <x v="1"/>
    <n v="153"/>
    <m/>
    <m/>
    <m/>
    <m/>
    <m/>
    <m/>
    <m/>
    <n v="1"/>
    <m/>
    <m/>
    <n v="154"/>
    <n v="2"/>
    <n v="1.9607843137254901"/>
    <m/>
    <n v="1"/>
  </r>
  <r>
    <d v="2008-10-31T00:00:00"/>
    <n v="2008"/>
    <n v="3"/>
    <n v="20.5"/>
    <s v="Fall"/>
    <x v="0"/>
    <x v="1"/>
    <n v="184"/>
    <m/>
    <m/>
    <m/>
    <m/>
    <m/>
    <m/>
    <m/>
    <n v="2"/>
    <m/>
    <m/>
    <n v="186"/>
    <n v="2"/>
    <n v="3.6956521739130435"/>
    <m/>
    <n v="12.5"/>
  </r>
  <r>
    <d v="2008-10-31T00:00:00"/>
    <n v="2008"/>
    <n v="4"/>
    <n v="20.5"/>
    <s v="Fall"/>
    <x v="0"/>
    <x v="1"/>
    <n v="236"/>
    <m/>
    <m/>
    <m/>
    <m/>
    <m/>
    <m/>
    <m/>
    <m/>
    <m/>
    <m/>
    <n v="236"/>
    <n v="1"/>
    <n v="2.7796610169491527"/>
    <m/>
    <m/>
  </r>
  <r>
    <d v="2008-10-23T00:00:00"/>
    <n v="2008"/>
    <n v="1"/>
    <n v="23.5"/>
    <s v="Fall"/>
    <x v="1"/>
    <x v="1"/>
    <n v="72"/>
    <m/>
    <m/>
    <m/>
    <m/>
    <m/>
    <m/>
    <m/>
    <n v="12"/>
    <m/>
    <m/>
    <n v="84"/>
    <n v="2"/>
    <n v="2.7777777777777777"/>
    <m/>
    <m/>
  </r>
  <r>
    <d v="2008-10-23T00:00:00"/>
    <n v="2008"/>
    <n v="2"/>
    <n v="24"/>
    <s v="Fall"/>
    <x v="1"/>
    <x v="1"/>
    <n v="12"/>
    <m/>
    <m/>
    <m/>
    <m/>
    <m/>
    <n v="1"/>
    <m/>
    <n v="5"/>
    <m/>
    <m/>
    <n v="18"/>
    <n v="3"/>
    <n v="3.0833333333333335"/>
    <m/>
    <m/>
  </r>
  <r>
    <d v="2008-10-23T00:00:00"/>
    <n v="2008"/>
    <n v="3"/>
    <n v="23.5"/>
    <s v="Fall"/>
    <x v="0"/>
    <x v="1"/>
    <n v="70"/>
    <m/>
    <m/>
    <m/>
    <m/>
    <m/>
    <m/>
    <m/>
    <n v="67"/>
    <m/>
    <m/>
    <n v="137"/>
    <n v="2"/>
    <n v="3.5714285714285716"/>
    <m/>
    <m/>
  </r>
  <r>
    <d v="2008-10-23T00:00:00"/>
    <n v="2008"/>
    <n v="4"/>
    <n v="23.5"/>
    <s v="Fall"/>
    <x v="0"/>
    <x v="1"/>
    <n v="201"/>
    <m/>
    <m/>
    <m/>
    <m/>
    <m/>
    <m/>
    <m/>
    <n v="11"/>
    <m/>
    <m/>
    <n v="212"/>
    <n v="2"/>
    <n v="2.2885572139303481"/>
    <m/>
    <m/>
  </r>
  <r>
    <d v="2009-11-04T00:00:00"/>
    <n v="2009"/>
    <n v="1"/>
    <n v="24"/>
    <s v="Fall"/>
    <x v="1"/>
    <x v="1"/>
    <n v="31"/>
    <m/>
    <m/>
    <m/>
    <m/>
    <m/>
    <m/>
    <m/>
    <n v="59"/>
    <n v="1"/>
    <m/>
    <n v="91"/>
    <n v="3"/>
    <n v="5"/>
    <m/>
    <n v="4.4915254237288131"/>
  </r>
  <r>
    <d v="2009-11-04T00:00:00"/>
    <n v="2009"/>
    <n v="2"/>
    <n v="24"/>
    <s v="Fall"/>
    <x v="1"/>
    <x v="1"/>
    <n v="13"/>
    <m/>
    <m/>
    <m/>
    <m/>
    <m/>
    <n v="6"/>
    <m/>
    <n v="9"/>
    <m/>
    <m/>
    <n v="28"/>
    <n v="3"/>
    <n v="6.5384615384615383"/>
    <m/>
    <n v="4.4444444444444446"/>
  </r>
  <r>
    <d v="2009-11-04T00:00:00"/>
    <n v="2009"/>
    <n v="3"/>
    <n v="24"/>
    <s v="Fall"/>
    <x v="0"/>
    <x v="1"/>
    <n v="8"/>
    <m/>
    <n v="1"/>
    <m/>
    <m/>
    <m/>
    <n v="9"/>
    <m/>
    <n v="2"/>
    <m/>
    <m/>
    <n v="20"/>
    <n v="4"/>
    <n v="5"/>
    <m/>
    <n v="2.5"/>
  </r>
  <r>
    <d v="2010-10-18T00:00:00"/>
    <n v="2010"/>
    <n v="1"/>
    <n v="26"/>
    <s v="Fall"/>
    <x v="1"/>
    <x v="1"/>
    <n v="93"/>
    <m/>
    <m/>
    <m/>
    <m/>
    <m/>
    <n v="4"/>
    <m/>
    <m/>
    <m/>
    <m/>
    <n v="97"/>
    <n v="2"/>
    <n v="2.6"/>
    <m/>
    <m/>
  </r>
  <r>
    <d v="2010-10-18T00:00:00"/>
    <n v="2010"/>
    <n v="2"/>
    <n v="26"/>
    <s v="Fall"/>
    <x v="1"/>
    <x v="1"/>
    <n v="7"/>
    <m/>
    <m/>
    <m/>
    <m/>
    <m/>
    <n v="2"/>
    <m/>
    <n v="2"/>
    <m/>
    <m/>
    <n v="11"/>
    <n v="3"/>
    <n v="3.4"/>
    <m/>
    <n v="1"/>
  </r>
  <r>
    <d v="2010-10-18T00:00:00"/>
    <n v="2010"/>
    <n v="3"/>
    <n v="26"/>
    <s v="Fall"/>
    <x v="0"/>
    <x v="1"/>
    <n v="140"/>
    <m/>
    <m/>
    <m/>
    <m/>
    <m/>
    <m/>
    <m/>
    <n v="1"/>
    <m/>
    <m/>
    <n v="141"/>
    <n v="2"/>
    <n v="4"/>
    <m/>
    <n v="5"/>
  </r>
  <r>
    <d v="2010-10-18T00:00:00"/>
    <n v="2010"/>
    <n v="4"/>
    <n v="26"/>
    <s v="Fall"/>
    <x v="0"/>
    <x v="1"/>
    <n v="269"/>
    <m/>
    <m/>
    <m/>
    <m/>
    <m/>
    <n v="1"/>
    <m/>
    <n v="1"/>
    <n v="1"/>
    <m/>
    <n v="272"/>
    <n v="4"/>
    <n v="2.16"/>
    <m/>
    <n v="5"/>
  </r>
  <r>
    <d v="2011-11-15T00:00:00"/>
    <n v="2011"/>
    <n v="1"/>
    <n v="27.5"/>
    <s v="Fall"/>
    <x v="1"/>
    <x v="1"/>
    <n v="52"/>
    <m/>
    <m/>
    <m/>
    <m/>
    <m/>
    <n v="1"/>
    <m/>
    <n v="5"/>
    <m/>
    <m/>
    <n v="58"/>
    <n v="3"/>
    <n v="3.0769230769230771"/>
    <m/>
    <n v="5"/>
  </r>
  <r>
    <d v="2011-11-15T00:00:00"/>
    <n v="2011"/>
    <n v="2"/>
    <n v="27.5"/>
    <s v="Fall"/>
    <x v="1"/>
    <x v="1"/>
    <n v="40"/>
    <m/>
    <m/>
    <m/>
    <m/>
    <m/>
    <m/>
    <m/>
    <m/>
    <m/>
    <m/>
    <n v="40"/>
    <n v="1"/>
    <n v="2.2222222222222223"/>
    <m/>
    <m/>
  </r>
  <r>
    <d v="2011-11-15T00:00:00"/>
    <n v="2011"/>
    <n v="3"/>
    <n v="27.5"/>
    <s v="Fall"/>
    <x v="0"/>
    <x v="1"/>
    <n v="207"/>
    <m/>
    <m/>
    <m/>
    <n v="2"/>
    <m/>
    <m/>
    <m/>
    <n v="7"/>
    <m/>
    <m/>
    <n v="216"/>
    <n v="3"/>
    <n v="4.2512077294685993"/>
    <n v="7.5"/>
    <n v="3.5714285714285716"/>
  </r>
  <r>
    <d v="2011-11-15T00:00:00"/>
    <n v="2011"/>
    <n v="4"/>
    <n v="27.5"/>
    <s v="Fall"/>
    <x v="0"/>
    <x v="1"/>
    <n v="260"/>
    <m/>
    <m/>
    <m/>
    <m/>
    <m/>
    <m/>
    <m/>
    <n v="5"/>
    <m/>
    <m/>
    <n v="265"/>
    <n v="2"/>
    <n v="3.0384615384615383"/>
    <m/>
    <n v="3.6"/>
  </r>
  <r>
    <d v="2012-10-01T00:00:00"/>
    <n v="2012"/>
    <n v="1"/>
    <n v="20.5"/>
    <s v="Fall"/>
    <x v="1"/>
    <x v="1"/>
    <n v="253"/>
    <m/>
    <m/>
    <m/>
    <m/>
    <m/>
    <m/>
    <m/>
    <n v="2"/>
    <m/>
    <n v="3"/>
    <n v="258"/>
    <n v="516"/>
    <n v="3"/>
    <n v="1.8181818181818181"/>
    <m/>
  </r>
  <r>
    <d v="2012-10-01T00:00:00"/>
    <n v="2012"/>
    <n v="2"/>
    <n v="20.5"/>
    <s v="Fall"/>
    <x v="1"/>
    <x v="1"/>
    <n v="193"/>
    <m/>
    <m/>
    <m/>
    <m/>
    <m/>
    <m/>
    <m/>
    <n v="1"/>
    <m/>
    <m/>
    <n v="194"/>
    <n v="388"/>
    <n v="2"/>
    <n v="1.5544041450777202"/>
    <m/>
  </r>
  <r>
    <d v="2012-10-01T00:00:00"/>
    <n v="2012"/>
    <n v="3"/>
    <n v="20.5"/>
    <s v="Fall"/>
    <x v="0"/>
    <x v="1"/>
    <n v="124"/>
    <m/>
    <m/>
    <m/>
    <m/>
    <m/>
    <m/>
    <m/>
    <n v="2"/>
    <m/>
    <m/>
    <n v="126"/>
    <n v="252"/>
    <n v="2"/>
    <n v="3.5483870967741935"/>
    <m/>
  </r>
  <r>
    <d v="2012-10-01T00:00:00"/>
    <n v="2012"/>
    <n v="4"/>
    <n v="16.5"/>
    <s v="Fall"/>
    <x v="0"/>
    <x v="1"/>
    <n v="72"/>
    <m/>
    <m/>
    <m/>
    <m/>
    <m/>
    <m/>
    <m/>
    <n v="13"/>
    <m/>
    <m/>
    <n v="85"/>
    <n v="170"/>
    <n v="2"/>
    <n v="4.833333333333333"/>
    <m/>
  </r>
  <r>
    <d v="2013-10-28T00:00:00"/>
    <n v="2013"/>
    <n v="1"/>
    <n v="26"/>
    <s v="Fall"/>
    <x v="1"/>
    <x v="1"/>
    <n v="4"/>
    <m/>
    <m/>
    <m/>
    <m/>
    <n v="8"/>
    <m/>
    <m/>
    <m/>
    <m/>
    <m/>
    <n v="12"/>
    <n v="2"/>
    <n v="2.5"/>
    <m/>
    <m/>
  </r>
  <r>
    <d v="2013-10-28T00:00:00"/>
    <n v="2013"/>
    <n v="2"/>
    <n v="26"/>
    <s v="Fall"/>
    <x v="1"/>
    <x v="1"/>
    <n v="4"/>
    <m/>
    <m/>
    <m/>
    <m/>
    <n v="10"/>
    <m/>
    <m/>
    <m/>
    <m/>
    <m/>
    <n v="14"/>
    <n v="2"/>
    <n v="2.5"/>
    <m/>
    <m/>
  </r>
  <r>
    <d v="2013-10-28T00:00:00"/>
    <n v="2013"/>
    <n v="3"/>
    <n v="26"/>
    <s v="Fall"/>
    <x v="0"/>
    <x v="1"/>
    <n v="46"/>
    <m/>
    <m/>
    <m/>
    <m/>
    <n v="1"/>
    <m/>
    <m/>
    <m/>
    <m/>
    <m/>
    <n v="47"/>
    <n v="2"/>
    <n v="3.4347826086956523"/>
    <m/>
    <m/>
  </r>
  <r>
    <d v="2013-10-28T00:00:00"/>
    <n v="2013"/>
    <n v="4"/>
    <n v="26"/>
    <s v="Fall"/>
    <x v="0"/>
    <x v="1"/>
    <n v="79"/>
    <m/>
    <m/>
    <m/>
    <m/>
    <n v="10"/>
    <m/>
    <m/>
    <m/>
    <n v="3"/>
    <m/>
    <n v="92"/>
    <n v="3"/>
    <n v="2.240506329113924"/>
    <m/>
    <m/>
  </r>
  <r>
    <d v="2014-10-22T00:00:00"/>
    <n v="2014"/>
    <n v="1"/>
    <n v="18"/>
    <s v="Fall"/>
    <x v="1"/>
    <x v="1"/>
    <n v="133"/>
    <m/>
    <m/>
    <m/>
    <m/>
    <n v="4"/>
    <m/>
    <m/>
    <n v="4"/>
    <m/>
    <m/>
    <n v="141"/>
    <n v="3"/>
    <n v="2.518796992481203"/>
    <m/>
    <n v="5"/>
  </r>
  <r>
    <d v="2014-10-22T00:00:00"/>
    <n v="2014"/>
    <n v="2"/>
    <n v="18"/>
    <s v="Fall"/>
    <x v="1"/>
    <x v="1"/>
    <n v="205"/>
    <m/>
    <m/>
    <m/>
    <m/>
    <n v="6"/>
    <m/>
    <m/>
    <n v="2"/>
    <m/>
    <m/>
    <n v="213"/>
    <n v="3"/>
    <n v="2.1804878048780489"/>
    <m/>
    <n v="1.5"/>
  </r>
  <r>
    <d v="2014-10-22T00:00:00"/>
    <n v="2014"/>
    <n v="3"/>
    <n v="18"/>
    <s v="Fall"/>
    <x v="0"/>
    <x v="1"/>
    <n v="105"/>
    <m/>
    <m/>
    <m/>
    <m/>
    <m/>
    <m/>
    <m/>
    <n v="4"/>
    <m/>
    <m/>
    <n v="109"/>
    <n v="2"/>
    <n v="4.0476190476190474"/>
    <m/>
    <n v="8.75"/>
  </r>
  <r>
    <d v="2014-10-22T00:00:00"/>
    <n v="2014"/>
    <n v="4"/>
    <n v="18"/>
    <s v="Fall"/>
    <x v="0"/>
    <x v="1"/>
    <n v="170"/>
    <m/>
    <m/>
    <m/>
    <m/>
    <m/>
    <m/>
    <m/>
    <n v="2"/>
    <m/>
    <m/>
    <n v="172"/>
    <n v="2"/>
    <n v="4.2823529411764705"/>
    <m/>
    <n v="7.5"/>
  </r>
  <r>
    <d v="2015-10-21T00:00:00"/>
    <n v="2015"/>
    <n v="1"/>
    <n v="12"/>
    <s v="Fall"/>
    <x v="1"/>
    <x v="1"/>
    <n v="56"/>
    <m/>
    <m/>
    <m/>
    <m/>
    <m/>
    <m/>
    <m/>
    <m/>
    <m/>
    <m/>
    <n v="56"/>
    <n v="1"/>
    <n v="1.7857142857142858"/>
    <m/>
    <m/>
  </r>
  <r>
    <d v="2015-10-21T00:00:00"/>
    <n v="2015"/>
    <n v="2"/>
    <n v="12"/>
    <s v="Fall"/>
    <x v="1"/>
    <x v="1"/>
    <n v="47"/>
    <m/>
    <n v="1"/>
    <m/>
    <m/>
    <m/>
    <m/>
    <m/>
    <m/>
    <m/>
    <m/>
    <n v="48"/>
    <n v="2"/>
    <n v="1.7021276595744681"/>
    <m/>
    <m/>
  </r>
  <r>
    <d v="2015-10-21T00:00:00"/>
    <n v="2015"/>
    <n v="3"/>
    <n v="12"/>
    <s v="Fall"/>
    <x v="0"/>
    <x v="1"/>
    <n v="17"/>
    <m/>
    <m/>
    <m/>
    <m/>
    <m/>
    <m/>
    <m/>
    <m/>
    <m/>
    <m/>
    <n v="17"/>
    <n v="1"/>
    <n v="1.4705882352941178"/>
    <m/>
    <m/>
  </r>
  <r>
    <d v="2015-10-21T00:00:00"/>
    <n v="2015"/>
    <n v="4"/>
    <n v="12"/>
    <s v="Fall"/>
    <x v="0"/>
    <x v="1"/>
    <n v="4"/>
    <m/>
    <m/>
    <m/>
    <m/>
    <m/>
    <m/>
    <m/>
    <m/>
    <m/>
    <m/>
    <n v="4"/>
    <n v="1"/>
    <n v="2.5"/>
    <m/>
    <m/>
  </r>
  <r>
    <d v="2016-05-10T00:00:00"/>
    <n v="2016"/>
    <n v="1"/>
    <n v="1.25"/>
    <s v="Spring"/>
    <x v="1"/>
    <x v="1"/>
    <n v="44"/>
    <m/>
    <m/>
    <m/>
    <m/>
    <m/>
    <m/>
    <m/>
    <m/>
    <m/>
    <m/>
    <n v="44"/>
    <n v="1"/>
    <n v="2.2727272727272729"/>
    <m/>
    <m/>
  </r>
  <r>
    <d v="2016-05-10T00:00:00"/>
    <n v="2016"/>
    <n v="2"/>
    <n v="2.25"/>
    <s v="Spring"/>
    <x v="1"/>
    <x v="1"/>
    <n v="9"/>
    <m/>
    <m/>
    <m/>
    <m/>
    <m/>
    <m/>
    <m/>
    <m/>
    <m/>
    <m/>
    <n v="9"/>
    <n v="1"/>
    <n v="1.6666666666666667"/>
    <m/>
    <m/>
  </r>
  <r>
    <d v="2016-05-10T00:00:00"/>
    <n v="2016"/>
    <n v="3"/>
    <n v="2.25"/>
    <s v="Spring"/>
    <x v="0"/>
    <x v="1"/>
    <m/>
    <m/>
    <m/>
    <m/>
    <m/>
    <m/>
    <m/>
    <m/>
    <m/>
    <m/>
    <m/>
    <n v="0"/>
    <n v="0"/>
    <m/>
    <m/>
    <m/>
  </r>
  <r>
    <d v="2016-05-10T00:00:00"/>
    <n v="2016"/>
    <n v="4"/>
    <n v="1.75"/>
    <s v="Spring"/>
    <x v="0"/>
    <x v="1"/>
    <n v="201"/>
    <m/>
    <m/>
    <m/>
    <m/>
    <m/>
    <m/>
    <m/>
    <m/>
    <m/>
    <m/>
    <n v="201"/>
    <n v="1"/>
    <n v="1.5671641791044777"/>
    <m/>
    <m/>
  </r>
  <r>
    <d v="2016-10-06T00:00:00"/>
    <n v="2016"/>
    <n v="1"/>
    <n v="18"/>
    <s v="Fall"/>
    <x v="1"/>
    <x v="1"/>
    <n v="53"/>
    <m/>
    <m/>
    <m/>
    <m/>
    <n v="2"/>
    <m/>
    <m/>
    <n v="2"/>
    <m/>
    <m/>
    <n v="57"/>
    <n v="3"/>
    <n v="3.3018867924528301"/>
    <m/>
    <n v="2.5"/>
  </r>
  <r>
    <d v="2016-10-06T00:00:00"/>
    <n v="2016"/>
    <n v="2"/>
    <n v="18"/>
    <s v="Fall"/>
    <x v="1"/>
    <x v="1"/>
    <n v="138"/>
    <m/>
    <m/>
    <m/>
    <m/>
    <m/>
    <m/>
    <m/>
    <n v="1"/>
    <m/>
    <m/>
    <n v="139"/>
    <n v="2"/>
    <n v="2.6086956521739131"/>
    <m/>
    <n v="5"/>
  </r>
  <r>
    <d v="2016-10-06T00:00:00"/>
    <n v="2016"/>
    <n v="3"/>
    <n v="18"/>
    <s v="Fall"/>
    <x v="0"/>
    <x v="1"/>
    <n v="119"/>
    <m/>
    <m/>
    <m/>
    <m/>
    <m/>
    <m/>
    <m/>
    <n v="1"/>
    <m/>
    <m/>
    <n v="120"/>
    <n v="2"/>
    <n v="4.53781512605042"/>
    <m/>
    <n v="4"/>
  </r>
  <r>
    <d v="2016-10-06T00:00:00"/>
    <n v="2016"/>
    <n v="4"/>
    <n v="18"/>
    <s v="Fall"/>
    <x v="0"/>
    <x v="1"/>
    <n v="206"/>
    <m/>
    <m/>
    <m/>
    <m/>
    <n v="2"/>
    <m/>
    <m/>
    <n v="4"/>
    <m/>
    <m/>
    <n v="212"/>
    <n v="3"/>
    <n v="5.0728155339805827"/>
    <m/>
    <n v="4"/>
  </r>
  <r>
    <d v="2017-05-18T00:00:00"/>
    <n v="2017"/>
    <n v="1"/>
    <m/>
    <s v="Spring"/>
    <x v="1"/>
    <x v="1"/>
    <n v="13"/>
    <m/>
    <m/>
    <m/>
    <m/>
    <m/>
    <m/>
    <m/>
    <m/>
    <m/>
    <m/>
    <n v="13"/>
    <n v="1"/>
    <n v="8.6669999999999998"/>
    <m/>
    <m/>
  </r>
  <r>
    <d v="2017-05-18T00:00:00"/>
    <n v="2017"/>
    <n v="2"/>
    <m/>
    <s v="Spring"/>
    <x v="1"/>
    <x v="1"/>
    <n v="9"/>
    <m/>
    <m/>
    <m/>
    <n v="1"/>
    <m/>
    <m/>
    <m/>
    <m/>
    <m/>
    <m/>
    <n v="10"/>
    <n v="2"/>
    <n v="5.5"/>
    <n v="20"/>
    <m/>
  </r>
  <r>
    <d v="2017-05-18T00:00:00"/>
    <n v="2017"/>
    <n v="3"/>
    <m/>
    <s v="Spring"/>
    <x v="0"/>
    <x v="1"/>
    <n v="5"/>
    <m/>
    <m/>
    <m/>
    <m/>
    <m/>
    <m/>
    <m/>
    <m/>
    <m/>
    <m/>
    <n v="5"/>
    <n v="1"/>
    <n v="5"/>
    <m/>
    <m/>
  </r>
  <r>
    <d v="2017-05-18T00:00:00"/>
    <n v="2017"/>
    <n v="4"/>
    <m/>
    <s v="Spring"/>
    <x v="0"/>
    <x v="1"/>
    <n v="26"/>
    <m/>
    <m/>
    <m/>
    <m/>
    <m/>
    <m/>
    <m/>
    <m/>
    <m/>
    <m/>
    <n v="26"/>
    <n v="1"/>
    <n v="3.02"/>
    <m/>
    <m/>
  </r>
  <r>
    <d v="2018-05-10T00:00:00"/>
    <n v="2018"/>
    <n v="1"/>
    <n v="14"/>
    <s v="Spring"/>
    <x v="1"/>
    <x v="1"/>
    <n v="6"/>
    <m/>
    <m/>
    <m/>
    <n v="1"/>
    <m/>
    <m/>
    <m/>
    <m/>
    <m/>
    <m/>
    <n v="7"/>
    <n v="1"/>
    <n v="3"/>
    <m/>
    <m/>
  </r>
  <r>
    <d v="2018-05-10T00:00:00"/>
    <n v="2018"/>
    <n v="2"/>
    <n v="14"/>
    <s v="Spring"/>
    <x v="1"/>
    <x v="1"/>
    <n v="3"/>
    <m/>
    <m/>
    <m/>
    <m/>
    <m/>
    <m/>
    <m/>
    <m/>
    <m/>
    <m/>
    <n v="3"/>
    <n v="1"/>
    <n v="2"/>
    <m/>
    <m/>
  </r>
  <r>
    <d v="2018-05-10T00:00:00"/>
    <n v="2018"/>
    <n v="3"/>
    <n v="14"/>
    <s v="Spring"/>
    <x v="0"/>
    <x v="1"/>
    <n v="32"/>
    <m/>
    <m/>
    <m/>
    <m/>
    <m/>
    <m/>
    <m/>
    <m/>
    <m/>
    <m/>
    <n v="32"/>
    <n v="2"/>
    <n v="2.1875"/>
    <m/>
    <m/>
  </r>
  <r>
    <d v="2018-05-10T00:00:00"/>
    <n v="2018"/>
    <n v="4"/>
    <n v="14"/>
    <s v="Spring"/>
    <x v="0"/>
    <x v="1"/>
    <n v="0"/>
    <m/>
    <m/>
    <m/>
    <m/>
    <m/>
    <m/>
    <m/>
    <m/>
    <m/>
    <m/>
    <n v="0"/>
    <n v="0"/>
    <m/>
    <m/>
    <m/>
  </r>
  <r>
    <d v="2018-10-19T00:00:00"/>
    <n v="2018"/>
    <n v="1"/>
    <n v="16"/>
    <s v="Fall"/>
    <x v="1"/>
    <x v="1"/>
    <n v="8"/>
    <m/>
    <m/>
    <m/>
    <m/>
    <m/>
    <m/>
    <m/>
    <n v="1"/>
    <m/>
    <m/>
    <n v="9"/>
    <n v="2"/>
    <n v="2.5"/>
    <m/>
    <n v="1"/>
  </r>
  <r>
    <d v="2018-10-19T00:00:00"/>
    <n v="2018"/>
    <n v="2"/>
    <n v="16"/>
    <s v="Fall"/>
    <x v="1"/>
    <x v="1"/>
    <n v="0"/>
    <m/>
    <m/>
    <m/>
    <m/>
    <m/>
    <m/>
    <m/>
    <m/>
    <m/>
    <m/>
    <n v="0"/>
    <n v="0"/>
    <m/>
    <m/>
    <m/>
  </r>
  <r>
    <d v="2018-10-19T00:00:00"/>
    <n v="2018"/>
    <n v="3"/>
    <n v="16"/>
    <s v="Fall"/>
    <x v="0"/>
    <x v="1"/>
    <n v="150"/>
    <m/>
    <m/>
    <m/>
    <m/>
    <m/>
    <m/>
    <m/>
    <m/>
    <m/>
    <m/>
    <n v="150"/>
    <n v="1"/>
    <n v="3.0066666666666668"/>
    <m/>
    <m/>
  </r>
  <r>
    <d v="2018-10-19T00:00:00"/>
    <n v="2018"/>
    <n v="4"/>
    <n v="16"/>
    <s v="Fall"/>
    <x v="0"/>
    <x v="1"/>
    <n v="162"/>
    <m/>
    <m/>
    <m/>
    <m/>
    <m/>
    <m/>
    <m/>
    <m/>
    <m/>
    <m/>
    <n v="162"/>
    <n v="1"/>
    <n v="2.4197530864197532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2">
  <r>
    <d v="2002-04-24T00:00:00"/>
    <x v="0"/>
    <n v="4"/>
    <n v="19"/>
    <x v="0"/>
    <x v="0"/>
    <x v="0"/>
    <n v="7"/>
    <n v="0"/>
    <n v="0"/>
    <n v="0"/>
    <n v="0"/>
    <n v="0"/>
    <n v="0"/>
    <n v="0"/>
    <n v="0"/>
    <n v="0"/>
    <n v="0"/>
    <n v="7"/>
    <n v="1"/>
    <n v="3.5714285714285716"/>
    <m/>
    <m/>
  </r>
  <r>
    <d v="2002-04-24T00:00:00"/>
    <x v="0"/>
    <n v="3"/>
    <n v="19"/>
    <x v="0"/>
    <x v="0"/>
    <x v="0"/>
    <n v="23"/>
    <n v="0"/>
    <n v="0"/>
    <n v="0"/>
    <n v="0"/>
    <n v="0"/>
    <n v="0"/>
    <n v="0"/>
    <n v="0"/>
    <n v="0"/>
    <n v="0"/>
    <n v="23"/>
    <n v="1"/>
    <n v="4.7826086956521738"/>
    <m/>
    <m/>
  </r>
  <r>
    <d v="2002-04-24T00:00:00"/>
    <x v="0"/>
    <s v="Seine"/>
    <n v="0.5"/>
    <x v="0"/>
    <x v="1"/>
    <x v="0"/>
    <n v="0"/>
    <n v="0"/>
    <n v="0"/>
    <n v="0"/>
    <n v="0"/>
    <n v="0"/>
    <n v="0"/>
    <n v="0"/>
    <n v="0"/>
    <n v="0"/>
    <n v="0"/>
    <n v="0"/>
    <n v="0"/>
    <m/>
    <m/>
    <m/>
  </r>
  <r>
    <d v="2002-05-08T00:00:00"/>
    <x v="0"/>
    <n v="3"/>
    <n v="20"/>
    <x v="0"/>
    <x v="0"/>
    <x v="0"/>
    <n v="0"/>
    <n v="0"/>
    <n v="0"/>
    <n v="0"/>
    <n v="0"/>
    <n v="0"/>
    <n v="0"/>
    <n v="0"/>
    <n v="0"/>
    <n v="0"/>
    <n v="2"/>
    <n v="2"/>
    <n v="1"/>
    <m/>
    <m/>
    <m/>
  </r>
  <r>
    <d v="2002-05-08T00:00:00"/>
    <x v="0"/>
    <n v="4"/>
    <n v="20"/>
    <x v="0"/>
    <x v="0"/>
    <x v="0"/>
    <n v="0"/>
    <n v="0"/>
    <n v="0"/>
    <n v="0"/>
    <n v="1"/>
    <n v="0"/>
    <n v="0"/>
    <n v="0"/>
    <n v="0"/>
    <n v="0"/>
    <n v="0"/>
    <n v="1"/>
    <n v="1"/>
    <m/>
    <n v="10"/>
    <m/>
  </r>
  <r>
    <d v="2002-05-08T00:00:00"/>
    <x v="0"/>
    <s v="Seine"/>
    <n v="0.5"/>
    <x v="0"/>
    <x v="1"/>
    <x v="0"/>
    <n v="0"/>
    <n v="0"/>
    <n v="0"/>
    <n v="0"/>
    <n v="0"/>
    <n v="0"/>
    <n v="0"/>
    <n v="0"/>
    <n v="0"/>
    <n v="0"/>
    <n v="0"/>
    <n v="0"/>
    <n v="0"/>
    <m/>
    <m/>
    <m/>
  </r>
  <r>
    <d v="2002-05-22T00:00:00"/>
    <x v="0"/>
    <n v="4"/>
    <n v="20.5"/>
    <x v="0"/>
    <x v="0"/>
    <x v="0"/>
    <n v="1"/>
    <n v="0"/>
    <n v="0"/>
    <n v="0"/>
    <n v="0"/>
    <n v="0"/>
    <n v="0"/>
    <n v="0"/>
    <n v="0"/>
    <n v="0"/>
    <n v="0"/>
    <n v="1"/>
    <n v="1"/>
    <n v="5"/>
    <m/>
    <m/>
  </r>
  <r>
    <d v="2002-05-22T00:00:00"/>
    <x v="0"/>
    <s v="Seine"/>
    <n v="0.5"/>
    <x v="0"/>
    <x v="1"/>
    <x v="0"/>
    <n v="0"/>
    <n v="0"/>
    <n v="0"/>
    <n v="0"/>
    <n v="0"/>
    <n v="0"/>
    <n v="0"/>
    <n v="0"/>
    <n v="0"/>
    <n v="0"/>
    <n v="0"/>
    <n v="0"/>
    <n v="0"/>
    <m/>
    <m/>
    <m/>
  </r>
  <r>
    <d v="2003-06-03T00:00:00"/>
    <x v="1"/>
    <n v="1"/>
    <n v="26"/>
    <x v="0"/>
    <x v="1"/>
    <x v="0"/>
    <n v="14"/>
    <n v="0"/>
    <n v="0"/>
    <n v="0"/>
    <n v="0"/>
    <n v="0"/>
    <n v="0"/>
    <n v="2"/>
    <n v="0"/>
    <n v="0"/>
    <n v="0"/>
    <n v="16"/>
    <n v="2"/>
    <n v="2.1"/>
    <m/>
    <m/>
  </r>
  <r>
    <d v="2003-06-03T00:00:00"/>
    <x v="1"/>
    <n v="3"/>
    <n v="27.5"/>
    <x v="0"/>
    <x v="0"/>
    <x v="0"/>
    <n v="1"/>
    <n v="0"/>
    <n v="0"/>
    <n v="0"/>
    <n v="0"/>
    <n v="0"/>
    <n v="0"/>
    <n v="0"/>
    <n v="0"/>
    <n v="0"/>
    <n v="0"/>
    <n v="1"/>
    <n v="1"/>
    <n v="3"/>
    <m/>
    <m/>
  </r>
  <r>
    <d v="2004-06-25T00:00:00"/>
    <x v="2"/>
    <n v="1"/>
    <n v="13"/>
    <x v="0"/>
    <x v="1"/>
    <x v="1"/>
    <n v="35"/>
    <n v="0"/>
    <n v="0"/>
    <n v="0"/>
    <n v="0"/>
    <n v="0"/>
    <n v="0"/>
    <n v="0"/>
    <n v="12"/>
    <n v="0"/>
    <n v="0"/>
    <n v="47"/>
    <n v="2"/>
    <n v="4.2"/>
    <m/>
    <n v="7"/>
  </r>
  <r>
    <d v="2004-06-25T00:00:00"/>
    <x v="2"/>
    <n v="2"/>
    <n v="13"/>
    <x v="0"/>
    <x v="1"/>
    <x v="1"/>
    <n v="0"/>
    <n v="0"/>
    <n v="0"/>
    <n v="0"/>
    <n v="0"/>
    <n v="0"/>
    <n v="0"/>
    <n v="0"/>
    <n v="0"/>
    <n v="0"/>
    <n v="0"/>
    <n v="0"/>
    <n v="0"/>
    <m/>
    <m/>
    <m/>
  </r>
  <r>
    <d v="2004-06-25T00:00:00"/>
    <x v="2"/>
    <n v="3"/>
    <n v="13"/>
    <x v="0"/>
    <x v="0"/>
    <x v="1"/>
    <n v="14"/>
    <n v="1"/>
    <n v="0"/>
    <n v="0"/>
    <n v="0"/>
    <n v="0"/>
    <n v="0"/>
    <n v="0"/>
    <n v="0"/>
    <n v="0"/>
    <n v="0"/>
    <n v="15"/>
    <n v="2"/>
    <n v="3.6"/>
    <m/>
    <m/>
  </r>
  <r>
    <d v="2004-06-25T00:00:00"/>
    <x v="2"/>
    <n v="4"/>
    <n v="13"/>
    <x v="0"/>
    <x v="0"/>
    <x v="1"/>
    <n v="13"/>
    <n v="0"/>
    <n v="0"/>
    <n v="0"/>
    <n v="0"/>
    <n v="0"/>
    <n v="0"/>
    <n v="0"/>
    <n v="0"/>
    <n v="0"/>
    <n v="0"/>
    <n v="13"/>
    <n v="1"/>
    <n v="3.6"/>
    <m/>
    <m/>
  </r>
  <r>
    <d v="2004-09-23T00:00:00"/>
    <x v="2"/>
    <n v="1"/>
    <n v="14"/>
    <x v="1"/>
    <x v="1"/>
    <x v="1"/>
    <n v="133"/>
    <n v="0"/>
    <n v="1"/>
    <n v="1"/>
    <n v="0"/>
    <n v="0"/>
    <n v="0"/>
    <n v="0"/>
    <n v="5"/>
    <n v="0"/>
    <n v="0"/>
    <n v="140"/>
    <n v="4"/>
    <n v="2.030075187969925"/>
    <m/>
    <n v="5"/>
  </r>
  <r>
    <d v="2004-09-23T00:00:00"/>
    <x v="2"/>
    <n v="2"/>
    <n v="14"/>
    <x v="1"/>
    <x v="1"/>
    <x v="1"/>
    <n v="124"/>
    <n v="0"/>
    <n v="0"/>
    <n v="0"/>
    <n v="0"/>
    <n v="0"/>
    <n v="0"/>
    <n v="0"/>
    <n v="2"/>
    <n v="0"/>
    <n v="0"/>
    <n v="126"/>
    <n v="2"/>
    <n v="1.6935483870967742"/>
    <m/>
    <n v="5"/>
  </r>
  <r>
    <d v="2004-09-23T00:00:00"/>
    <x v="2"/>
    <n v="3"/>
    <n v="17.5"/>
    <x v="1"/>
    <x v="0"/>
    <x v="1"/>
    <n v="78"/>
    <n v="0"/>
    <n v="0"/>
    <n v="1"/>
    <n v="0"/>
    <n v="0"/>
    <n v="0"/>
    <n v="0"/>
    <n v="3"/>
    <n v="0"/>
    <n v="0"/>
    <n v="82"/>
    <n v="3"/>
    <n v="2.6923076923076925"/>
    <m/>
    <n v="5"/>
  </r>
  <r>
    <d v="2004-09-23T00:00:00"/>
    <x v="2"/>
    <n v="4"/>
    <n v="17.5"/>
    <x v="1"/>
    <x v="0"/>
    <x v="1"/>
    <n v="37"/>
    <n v="0"/>
    <n v="0"/>
    <n v="0"/>
    <n v="0"/>
    <n v="0"/>
    <n v="0"/>
    <n v="0"/>
    <n v="2"/>
    <n v="0"/>
    <n v="0"/>
    <n v="39"/>
    <n v="2"/>
    <n v="1.8918918918918919"/>
    <m/>
    <n v="5"/>
  </r>
  <r>
    <d v="2005-07-07T00:00:00"/>
    <x v="3"/>
    <n v="1"/>
    <n v="15"/>
    <x v="2"/>
    <x v="1"/>
    <x v="1"/>
    <n v="70"/>
    <n v="0"/>
    <n v="0"/>
    <n v="2"/>
    <n v="3"/>
    <n v="0"/>
    <n v="0"/>
    <n v="0"/>
    <n v="2"/>
    <n v="0"/>
    <n v="0"/>
    <n v="77"/>
    <n v="4"/>
    <n v="3.5714285714285716"/>
    <n v="9.3333333333333339"/>
    <n v="2.5"/>
  </r>
  <r>
    <d v="2005-07-07T00:00:00"/>
    <x v="3"/>
    <n v="2"/>
    <n v="15"/>
    <x v="2"/>
    <x v="1"/>
    <x v="1"/>
    <n v="101"/>
    <n v="0"/>
    <n v="0"/>
    <n v="0"/>
    <n v="0"/>
    <n v="0"/>
    <n v="0"/>
    <n v="0"/>
    <n v="2"/>
    <n v="0"/>
    <n v="0"/>
    <n v="103"/>
    <n v="2"/>
    <n v="4.0594059405940595"/>
    <m/>
    <n v="7.5"/>
  </r>
  <r>
    <d v="2005-07-07T00:00:00"/>
    <x v="3"/>
    <n v="3"/>
    <n v="15"/>
    <x v="2"/>
    <x v="0"/>
    <x v="1"/>
    <n v="25"/>
    <n v="0"/>
    <n v="7"/>
    <n v="0"/>
    <n v="0"/>
    <n v="0"/>
    <n v="0"/>
    <n v="0"/>
    <n v="4"/>
    <n v="0"/>
    <n v="0"/>
    <n v="36"/>
    <n v="3"/>
    <n v="3.4"/>
    <m/>
    <n v="5"/>
  </r>
  <r>
    <d v="2005-10-04T00:00:00"/>
    <x v="3"/>
    <n v="1"/>
    <n v="16"/>
    <x v="1"/>
    <x v="1"/>
    <x v="1"/>
    <n v="300"/>
    <n v="0"/>
    <n v="0"/>
    <n v="0"/>
    <n v="3"/>
    <n v="0"/>
    <n v="0"/>
    <n v="0"/>
    <n v="3"/>
    <n v="0"/>
    <n v="0"/>
    <n v="306"/>
    <n v="3"/>
    <n v="1.55"/>
    <n v="21.66"/>
    <n v="8.33"/>
  </r>
  <r>
    <d v="2005-10-04T00:00:00"/>
    <x v="3"/>
    <n v="2"/>
    <n v="16"/>
    <x v="1"/>
    <x v="1"/>
    <x v="1"/>
    <n v="153"/>
    <n v="0"/>
    <n v="0"/>
    <n v="0"/>
    <n v="0"/>
    <n v="0"/>
    <n v="0"/>
    <n v="0"/>
    <n v="1"/>
    <n v="0"/>
    <n v="0"/>
    <n v="154"/>
    <n v="2"/>
    <n v="2.4500000000000002"/>
    <m/>
    <n v="5"/>
  </r>
  <r>
    <d v="2005-10-04T00:00:00"/>
    <x v="3"/>
    <n v="3"/>
    <n v="16"/>
    <x v="1"/>
    <x v="0"/>
    <x v="1"/>
    <n v="123"/>
    <n v="0"/>
    <n v="0"/>
    <n v="0"/>
    <n v="1"/>
    <n v="0"/>
    <n v="0"/>
    <n v="0"/>
    <n v="0"/>
    <n v="0"/>
    <n v="0"/>
    <n v="124"/>
    <n v="2"/>
    <n v="4.0599999999999996"/>
    <n v="5"/>
    <n v="5"/>
  </r>
  <r>
    <d v="2005-10-04T00:00:00"/>
    <x v="3"/>
    <n v="4"/>
    <n v="16"/>
    <x v="1"/>
    <x v="0"/>
    <x v="1"/>
    <n v="161"/>
    <n v="0"/>
    <n v="0"/>
    <n v="0"/>
    <n v="0"/>
    <n v="0"/>
    <n v="0"/>
    <n v="0"/>
    <n v="2"/>
    <n v="0"/>
    <n v="0"/>
    <n v="163"/>
    <n v="2"/>
    <n v="2.82"/>
    <m/>
    <n v="5"/>
  </r>
  <r>
    <d v="2006-05-03T00:00:00"/>
    <x v="4"/>
    <n v="1"/>
    <n v="15"/>
    <x v="0"/>
    <x v="1"/>
    <x v="1"/>
    <n v="68"/>
    <n v="0"/>
    <n v="0"/>
    <n v="0"/>
    <n v="0"/>
    <n v="0"/>
    <n v="0"/>
    <n v="0"/>
    <n v="0"/>
    <n v="0"/>
    <n v="0"/>
    <n v="68"/>
    <n v="1"/>
    <n v="2.94"/>
    <m/>
    <m/>
  </r>
  <r>
    <d v="2006-05-03T00:00:00"/>
    <x v="4"/>
    <n v="2"/>
    <n v="15"/>
    <x v="0"/>
    <x v="1"/>
    <x v="1"/>
    <n v="4"/>
    <n v="0"/>
    <n v="0"/>
    <n v="0"/>
    <n v="1"/>
    <n v="0"/>
    <n v="0"/>
    <n v="0"/>
    <n v="0"/>
    <n v="0"/>
    <n v="0"/>
    <n v="5"/>
    <n v="2"/>
    <n v="2.5"/>
    <n v="10"/>
    <m/>
  </r>
  <r>
    <d v="2006-05-03T00:00:00"/>
    <x v="4"/>
    <n v="3"/>
    <n v="13"/>
    <x v="0"/>
    <x v="0"/>
    <x v="1"/>
    <n v="373"/>
    <n v="1"/>
    <n v="1"/>
    <n v="0"/>
    <n v="0"/>
    <n v="0"/>
    <n v="0"/>
    <n v="0"/>
    <n v="0"/>
    <n v="0"/>
    <n v="0"/>
    <n v="375"/>
    <n v="3"/>
    <n v="2.27"/>
    <m/>
    <m/>
  </r>
  <r>
    <d v="2006-05-03T00:00:00"/>
    <x v="4"/>
    <n v="4"/>
    <n v="6"/>
    <x v="0"/>
    <x v="0"/>
    <x v="1"/>
    <n v="30"/>
    <n v="0"/>
    <n v="0"/>
    <n v="0"/>
    <n v="0"/>
    <n v="0"/>
    <n v="0"/>
    <n v="0"/>
    <n v="0"/>
    <n v="0"/>
    <n v="0"/>
    <n v="30"/>
    <n v="1"/>
    <n v="2.16"/>
    <m/>
    <m/>
  </r>
  <r>
    <d v="2006-11-07T00:00:00"/>
    <x v="4"/>
    <n v="1"/>
    <n v="17"/>
    <x v="1"/>
    <x v="1"/>
    <x v="1"/>
    <n v="92"/>
    <n v="0"/>
    <n v="1"/>
    <n v="0"/>
    <n v="1"/>
    <n v="0"/>
    <n v="0"/>
    <n v="0"/>
    <n v="2"/>
    <n v="0"/>
    <n v="0"/>
    <n v="96"/>
    <n v="4"/>
    <n v="3.8043478260869565"/>
    <n v="5"/>
    <n v="10"/>
  </r>
  <r>
    <d v="2006-11-07T00:00:00"/>
    <x v="4"/>
    <n v="2"/>
    <n v="19.5"/>
    <x v="1"/>
    <x v="1"/>
    <x v="1"/>
    <n v="102"/>
    <n v="0"/>
    <n v="1"/>
    <n v="0"/>
    <n v="0"/>
    <n v="0"/>
    <n v="0"/>
    <n v="0"/>
    <n v="2"/>
    <n v="0"/>
    <n v="0"/>
    <n v="105"/>
    <n v="3"/>
    <n v="2.1568627450980391"/>
    <m/>
    <n v="2.5"/>
  </r>
  <r>
    <d v="2006-11-07T00:00:00"/>
    <x v="4"/>
    <n v="3"/>
    <n v="19.5"/>
    <x v="1"/>
    <x v="0"/>
    <x v="1"/>
    <n v="68"/>
    <n v="0"/>
    <n v="5"/>
    <n v="0"/>
    <n v="0"/>
    <n v="0"/>
    <n v="0"/>
    <n v="0"/>
    <n v="0"/>
    <n v="0"/>
    <n v="0"/>
    <n v="73"/>
    <n v="2"/>
    <n v="4.2647058823529411"/>
    <m/>
    <m/>
  </r>
  <r>
    <d v="2006-11-07T00:00:00"/>
    <x v="4"/>
    <n v="4"/>
    <n v="19.5"/>
    <x v="1"/>
    <x v="0"/>
    <x v="1"/>
    <n v="355"/>
    <n v="0"/>
    <n v="1"/>
    <n v="0"/>
    <n v="0"/>
    <n v="0"/>
    <n v="0"/>
    <n v="0"/>
    <n v="0"/>
    <n v="0"/>
    <n v="0"/>
    <n v="356"/>
    <n v="2"/>
    <n v="1.267605633802817"/>
    <m/>
    <m/>
  </r>
  <r>
    <d v="2007-10-31T00:00:00"/>
    <x v="5"/>
    <n v="1"/>
    <n v="20.5"/>
    <x v="1"/>
    <x v="1"/>
    <x v="1"/>
    <n v="325"/>
    <n v="0"/>
    <n v="0"/>
    <n v="0"/>
    <n v="0"/>
    <n v="0"/>
    <n v="0"/>
    <n v="0"/>
    <n v="1"/>
    <n v="0"/>
    <n v="0"/>
    <n v="133"/>
    <n v="2"/>
    <n v="2.4"/>
    <m/>
    <n v="5"/>
  </r>
  <r>
    <d v="2007-10-31T00:00:00"/>
    <x v="5"/>
    <n v="2"/>
    <n v="20.5"/>
    <x v="1"/>
    <x v="1"/>
    <x v="1"/>
    <n v="300"/>
    <n v="0"/>
    <n v="0"/>
    <n v="0"/>
    <n v="0"/>
    <n v="0"/>
    <n v="0"/>
    <n v="0"/>
    <n v="1"/>
    <n v="0"/>
    <n v="0"/>
    <n v="153"/>
    <n v="2"/>
    <n v="1.96"/>
    <m/>
    <n v="1"/>
  </r>
  <r>
    <d v="2007-10-31T00:00:00"/>
    <x v="5"/>
    <n v="3"/>
    <n v="20.5"/>
    <x v="1"/>
    <x v="0"/>
    <x v="1"/>
    <n v="680"/>
    <n v="0"/>
    <n v="0"/>
    <n v="0"/>
    <n v="0"/>
    <n v="0"/>
    <n v="0"/>
    <n v="0"/>
    <n v="2"/>
    <n v="0"/>
    <n v="0"/>
    <n v="184"/>
    <n v="2"/>
    <n v="3.69"/>
    <m/>
    <n v="12.5"/>
  </r>
  <r>
    <d v="2007-10-31T00:00:00"/>
    <x v="5"/>
    <n v="4"/>
    <n v="20.5"/>
    <x v="1"/>
    <x v="0"/>
    <x v="1"/>
    <n v="656"/>
    <n v="0"/>
    <n v="0"/>
    <n v="0"/>
    <n v="0"/>
    <n v="0"/>
    <n v="0"/>
    <n v="0"/>
    <n v="0"/>
    <n v="0"/>
    <n v="0"/>
    <n v="236"/>
    <n v="1"/>
    <n v="2.77"/>
    <m/>
    <n v="2.77"/>
  </r>
  <r>
    <d v="2008-10-31T00:00:00"/>
    <x v="6"/>
    <n v="1"/>
    <n v="20.5"/>
    <x v="1"/>
    <x v="1"/>
    <x v="1"/>
    <n v="133"/>
    <n v="0"/>
    <n v="0"/>
    <n v="0"/>
    <n v="0"/>
    <n v="0"/>
    <n v="0"/>
    <n v="0"/>
    <n v="1"/>
    <n v="0"/>
    <n v="0"/>
    <n v="134"/>
    <n v="2"/>
    <n v="2.4436090225563909"/>
    <m/>
    <n v="5"/>
  </r>
  <r>
    <d v="2008-10-31T00:00:00"/>
    <x v="6"/>
    <n v="2"/>
    <n v="20.5"/>
    <x v="1"/>
    <x v="1"/>
    <x v="1"/>
    <n v="153"/>
    <n v="0"/>
    <n v="0"/>
    <n v="0"/>
    <n v="0"/>
    <n v="0"/>
    <n v="0"/>
    <n v="0"/>
    <n v="1"/>
    <n v="0"/>
    <n v="0"/>
    <n v="154"/>
    <n v="2"/>
    <n v="1.9607843137254901"/>
    <m/>
    <n v="1"/>
  </r>
  <r>
    <d v="2008-10-31T00:00:00"/>
    <x v="6"/>
    <n v="3"/>
    <n v="20.5"/>
    <x v="1"/>
    <x v="0"/>
    <x v="1"/>
    <n v="184"/>
    <n v="0"/>
    <n v="0"/>
    <n v="0"/>
    <n v="0"/>
    <n v="0"/>
    <n v="0"/>
    <n v="0"/>
    <n v="2"/>
    <n v="0"/>
    <n v="0"/>
    <n v="186"/>
    <n v="2"/>
    <n v="3.6956521739130435"/>
    <m/>
    <n v="12.5"/>
  </r>
  <r>
    <d v="2008-10-31T00:00:00"/>
    <x v="6"/>
    <n v="4"/>
    <n v="20.5"/>
    <x v="1"/>
    <x v="0"/>
    <x v="1"/>
    <n v="236"/>
    <n v="0"/>
    <n v="0"/>
    <n v="0"/>
    <n v="0"/>
    <n v="0"/>
    <n v="0"/>
    <n v="0"/>
    <n v="0"/>
    <n v="0"/>
    <n v="0"/>
    <n v="236"/>
    <n v="1"/>
    <n v="2.7796610169491527"/>
    <m/>
    <m/>
  </r>
  <r>
    <d v="2008-10-23T00:00:00"/>
    <x v="6"/>
    <n v="1"/>
    <n v="23.5"/>
    <x v="1"/>
    <x v="1"/>
    <x v="1"/>
    <n v="72"/>
    <n v="0"/>
    <n v="0"/>
    <n v="0"/>
    <n v="0"/>
    <n v="0"/>
    <n v="0"/>
    <n v="0"/>
    <n v="12"/>
    <n v="0"/>
    <n v="0"/>
    <n v="84"/>
    <n v="2"/>
    <n v="2.7777777777777777"/>
    <m/>
    <m/>
  </r>
  <r>
    <d v="2008-10-23T00:00:00"/>
    <x v="6"/>
    <n v="2"/>
    <n v="24"/>
    <x v="1"/>
    <x v="1"/>
    <x v="1"/>
    <n v="12"/>
    <n v="0"/>
    <n v="0"/>
    <n v="0"/>
    <n v="0"/>
    <n v="0"/>
    <n v="1"/>
    <n v="0"/>
    <n v="5"/>
    <n v="0"/>
    <n v="0"/>
    <n v="18"/>
    <n v="3"/>
    <n v="3.0833333333333335"/>
    <m/>
    <m/>
  </r>
  <r>
    <d v="2008-10-23T00:00:00"/>
    <x v="6"/>
    <n v="3"/>
    <n v="23.5"/>
    <x v="1"/>
    <x v="0"/>
    <x v="1"/>
    <n v="70"/>
    <n v="0"/>
    <n v="0"/>
    <n v="0"/>
    <n v="0"/>
    <n v="0"/>
    <n v="0"/>
    <n v="0"/>
    <n v="67"/>
    <n v="0"/>
    <n v="0"/>
    <n v="137"/>
    <n v="2"/>
    <n v="3.5714285714285716"/>
    <m/>
    <m/>
  </r>
  <r>
    <d v="2008-10-23T00:00:00"/>
    <x v="6"/>
    <n v="4"/>
    <n v="23.5"/>
    <x v="1"/>
    <x v="0"/>
    <x v="1"/>
    <n v="201"/>
    <n v="0"/>
    <n v="0"/>
    <n v="0"/>
    <n v="0"/>
    <n v="0"/>
    <n v="0"/>
    <n v="0"/>
    <n v="11"/>
    <n v="0"/>
    <n v="0"/>
    <n v="212"/>
    <n v="2"/>
    <n v="2.2885572139303481"/>
    <m/>
    <m/>
  </r>
  <r>
    <d v="2009-11-04T00:00:00"/>
    <x v="7"/>
    <n v="1"/>
    <n v="24"/>
    <x v="1"/>
    <x v="1"/>
    <x v="1"/>
    <n v="31"/>
    <n v="0"/>
    <n v="0"/>
    <n v="0"/>
    <n v="0"/>
    <n v="0"/>
    <n v="0"/>
    <n v="0"/>
    <n v="59"/>
    <n v="1"/>
    <n v="0"/>
    <n v="91"/>
    <n v="3"/>
    <n v="5"/>
    <m/>
    <n v="4.4915254237288131"/>
  </r>
  <r>
    <d v="2009-11-04T00:00:00"/>
    <x v="7"/>
    <n v="2"/>
    <n v="24"/>
    <x v="1"/>
    <x v="1"/>
    <x v="1"/>
    <n v="13"/>
    <n v="0"/>
    <n v="0"/>
    <n v="0"/>
    <n v="0"/>
    <n v="0"/>
    <n v="6"/>
    <n v="0"/>
    <n v="9"/>
    <n v="0"/>
    <n v="0"/>
    <n v="28"/>
    <n v="3"/>
    <n v="6.5384615384615383"/>
    <m/>
    <n v="4.4444444444444446"/>
  </r>
  <r>
    <d v="2009-11-04T00:00:00"/>
    <x v="7"/>
    <n v="3"/>
    <n v="24"/>
    <x v="1"/>
    <x v="0"/>
    <x v="1"/>
    <n v="8"/>
    <n v="0"/>
    <n v="1"/>
    <n v="0"/>
    <n v="0"/>
    <n v="0"/>
    <n v="9"/>
    <n v="0"/>
    <n v="2"/>
    <n v="0"/>
    <n v="0"/>
    <n v="20"/>
    <n v="4"/>
    <n v="5"/>
    <m/>
    <n v="2.5"/>
  </r>
  <r>
    <d v="2010-10-18T00:00:00"/>
    <x v="8"/>
    <n v="1"/>
    <n v="26"/>
    <x v="1"/>
    <x v="1"/>
    <x v="1"/>
    <n v="93"/>
    <n v="0"/>
    <n v="0"/>
    <n v="0"/>
    <n v="0"/>
    <n v="0"/>
    <n v="4"/>
    <n v="0"/>
    <m/>
    <n v="0"/>
    <n v="0"/>
    <n v="97"/>
    <n v="2"/>
    <n v="2.6"/>
    <m/>
    <m/>
  </r>
  <r>
    <d v="2010-10-18T00:00:00"/>
    <x v="8"/>
    <n v="2"/>
    <n v="26"/>
    <x v="1"/>
    <x v="1"/>
    <x v="1"/>
    <n v="7"/>
    <n v="0"/>
    <n v="0"/>
    <n v="0"/>
    <n v="0"/>
    <n v="0"/>
    <n v="2"/>
    <n v="0"/>
    <n v="2"/>
    <n v="0"/>
    <n v="0"/>
    <n v="11"/>
    <n v="3"/>
    <n v="3.4"/>
    <m/>
    <n v="1"/>
  </r>
  <r>
    <d v="2010-10-18T00:00:00"/>
    <x v="8"/>
    <n v="3"/>
    <n v="26"/>
    <x v="1"/>
    <x v="0"/>
    <x v="1"/>
    <n v="140"/>
    <n v="0"/>
    <n v="0"/>
    <n v="0"/>
    <n v="0"/>
    <n v="0"/>
    <n v="0"/>
    <n v="0"/>
    <n v="1"/>
    <n v="0"/>
    <n v="0"/>
    <n v="141"/>
    <n v="2"/>
    <n v="4"/>
    <m/>
    <n v="5"/>
  </r>
  <r>
    <d v="2010-10-18T00:00:00"/>
    <x v="8"/>
    <n v="4"/>
    <n v="26"/>
    <x v="1"/>
    <x v="0"/>
    <x v="1"/>
    <n v="269"/>
    <n v="0"/>
    <n v="0"/>
    <n v="0"/>
    <n v="0"/>
    <n v="0"/>
    <n v="1"/>
    <n v="0"/>
    <n v="1"/>
    <n v="1"/>
    <n v="0"/>
    <n v="272"/>
    <n v="4"/>
    <n v="2.16"/>
    <m/>
    <n v="5"/>
  </r>
  <r>
    <d v="2011-11-15T00:00:00"/>
    <x v="9"/>
    <n v="1"/>
    <n v="27.5"/>
    <x v="1"/>
    <x v="1"/>
    <x v="1"/>
    <n v="52"/>
    <n v="0"/>
    <n v="0"/>
    <n v="0"/>
    <n v="0"/>
    <n v="0"/>
    <n v="1"/>
    <n v="0"/>
    <n v="5"/>
    <n v="0"/>
    <n v="0"/>
    <n v="58"/>
    <n v="3"/>
    <n v="3.0769230769230771"/>
    <m/>
    <n v="5"/>
  </r>
  <r>
    <d v="2011-11-15T00:00:00"/>
    <x v="9"/>
    <n v="2"/>
    <n v="27.5"/>
    <x v="1"/>
    <x v="1"/>
    <x v="1"/>
    <n v="40"/>
    <n v="0"/>
    <n v="0"/>
    <n v="0"/>
    <n v="0"/>
    <n v="0"/>
    <n v="0"/>
    <n v="0"/>
    <m/>
    <n v="0"/>
    <n v="0"/>
    <n v="40"/>
    <n v="1"/>
    <n v="2.2222222222222223"/>
    <m/>
    <m/>
  </r>
  <r>
    <d v="2011-11-15T00:00:00"/>
    <x v="9"/>
    <n v="3"/>
    <n v="27.5"/>
    <x v="1"/>
    <x v="0"/>
    <x v="1"/>
    <n v="207"/>
    <n v="0"/>
    <n v="0"/>
    <n v="0"/>
    <n v="2"/>
    <n v="0"/>
    <n v="0"/>
    <n v="0"/>
    <n v="7"/>
    <n v="0"/>
    <n v="0"/>
    <n v="216"/>
    <n v="3"/>
    <n v="4.2512077294685993"/>
    <n v="7.5"/>
    <n v="3.5714285714285716"/>
  </r>
  <r>
    <d v="2011-11-15T00:00:00"/>
    <x v="9"/>
    <n v="4"/>
    <n v="27.5"/>
    <x v="1"/>
    <x v="0"/>
    <x v="1"/>
    <n v="260"/>
    <n v="0"/>
    <n v="0"/>
    <n v="0"/>
    <n v="0"/>
    <n v="0"/>
    <n v="0"/>
    <n v="0"/>
    <n v="5"/>
    <n v="0"/>
    <n v="0"/>
    <n v="265"/>
    <n v="2"/>
    <n v="3.0384615384615383"/>
    <m/>
    <n v="3.6"/>
  </r>
  <r>
    <d v="2012-10-01T00:00:00"/>
    <x v="10"/>
    <n v="1"/>
    <n v="20.5"/>
    <x v="1"/>
    <x v="1"/>
    <x v="1"/>
    <n v="253"/>
    <n v="0"/>
    <n v="0"/>
    <n v="0"/>
    <n v="0"/>
    <n v="3"/>
    <n v="0"/>
    <n v="0"/>
    <n v="2"/>
    <n v="0"/>
    <n v="0"/>
    <n v="258"/>
    <n v="3"/>
    <n v="1.8181818181818181"/>
    <m/>
    <n v="2"/>
  </r>
  <r>
    <d v="2012-10-01T00:00:00"/>
    <x v="10"/>
    <n v="2"/>
    <n v="20.5"/>
    <x v="1"/>
    <x v="1"/>
    <x v="1"/>
    <n v="193"/>
    <n v="0"/>
    <n v="0"/>
    <n v="0"/>
    <n v="0"/>
    <n v="0"/>
    <n v="0"/>
    <n v="0"/>
    <n v="1"/>
    <n v="0"/>
    <n v="0"/>
    <n v="194"/>
    <n v="2"/>
    <n v="1.5544041450777202"/>
    <m/>
    <n v="5"/>
  </r>
  <r>
    <d v="2012-10-01T00:00:00"/>
    <x v="10"/>
    <n v="3"/>
    <n v="20.5"/>
    <x v="1"/>
    <x v="0"/>
    <x v="1"/>
    <n v="124"/>
    <n v="0"/>
    <n v="0"/>
    <n v="0"/>
    <n v="0"/>
    <n v="0"/>
    <n v="0"/>
    <n v="0"/>
    <n v="2"/>
    <n v="0"/>
    <n v="0"/>
    <n v="126"/>
    <n v="2"/>
    <n v="3.5483870967741935"/>
    <m/>
    <n v="5"/>
  </r>
  <r>
    <d v="2012-10-01T00:00:00"/>
    <x v="10"/>
    <n v="4"/>
    <n v="16.5"/>
    <x v="1"/>
    <x v="0"/>
    <x v="1"/>
    <n v="72"/>
    <n v="0"/>
    <n v="0"/>
    <n v="0"/>
    <n v="0"/>
    <n v="0"/>
    <n v="0"/>
    <n v="0"/>
    <n v="13"/>
    <n v="0"/>
    <n v="0"/>
    <n v="85"/>
    <n v="2"/>
    <n v="4.833333333333333"/>
    <m/>
    <n v="7.6923076923076925"/>
  </r>
  <r>
    <d v="2013-10-28T00:00:00"/>
    <x v="11"/>
    <n v="1"/>
    <n v="26"/>
    <x v="1"/>
    <x v="1"/>
    <x v="1"/>
    <n v="4"/>
    <n v="0"/>
    <n v="0"/>
    <n v="0"/>
    <n v="0"/>
    <n v="8"/>
    <n v="0"/>
    <n v="0"/>
    <n v="0"/>
    <n v="0"/>
    <n v="0"/>
    <n v="12"/>
    <n v="2"/>
    <n v="2.5"/>
    <m/>
    <m/>
  </r>
  <r>
    <d v="2013-10-28T00:00:00"/>
    <x v="11"/>
    <n v="2"/>
    <n v="26"/>
    <x v="1"/>
    <x v="1"/>
    <x v="1"/>
    <n v="4"/>
    <n v="0"/>
    <n v="0"/>
    <n v="0"/>
    <n v="0"/>
    <n v="10"/>
    <n v="0"/>
    <n v="0"/>
    <n v="0"/>
    <n v="0"/>
    <n v="0"/>
    <n v="14"/>
    <n v="2"/>
    <n v="2.5"/>
    <m/>
    <m/>
  </r>
  <r>
    <d v="2013-10-28T00:00:00"/>
    <x v="11"/>
    <n v="3"/>
    <n v="26"/>
    <x v="1"/>
    <x v="0"/>
    <x v="1"/>
    <n v="46"/>
    <n v="0"/>
    <n v="0"/>
    <n v="0"/>
    <n v="0"/>
    <n v="1"/>
    <n v="0"/>
    <n v="0"/>
    <n v="0"/>
    <n v="0"/>
    <n v="0"/>
    <n v="47"/>
    <n v="2"/>
    <n v="3.4347826086956523"/>
    <m/>
    <m/>
  </r>
  <r>
    <d v="2013-10-28T00:00:00"/>
    <x v="11"/>
    <n v="4"/>
    <n v="26"/>
    <x v="1"/>
    <x v="0"/>
    <x v="1"/>
    <n v="79"/>
    <n v="0"/>
    <n v="0"/>
    <n v="0"/>
    <n v="0"/>
    <n v="10"/>
    <n v="0"/>
    <n v="0"/>
    <n v="0"/>
    <n v="3"/>
    <n v="0"/>
    <n v="92"/>
    <n v="3"/>
    <n v="2.240506329113924"/>
    <m/>
    <m/>
  </r>
  <r>
    <d v="2014-10-22T00:00:00"/>
    <x v="12"/>
    <n v="1"/>
    <n v="18"/>
    <x v="1"/>
    <x v="1"/>
    <x v="1"/>
    <n v="133"/>
    <n v="0"/>
    <n v="0"/>
    <n v="0"/>
    <n v="0"/>
    <n v="4"/>
    <n v="0"/>
    <n v="0"/>
    <n v="4"/>
    <n v="0"/>
    <n v="0"/>
    <n v="141"/>
    <n v="3"/>
    <n v="2.518796992481203"/>
    <m/>
    <n v="5"/>
  </r>
  <r>
    <d v="2014-10-22T00:00:00"/>
    <x v="12"/>
    <n v="2"/>
    <n v="18"/>
    <x v="1"/>
    <x v="1"/>
    <x v="1"/>
    <n v="205"/>
    <n v="0"/>
    <n v="0"/>
    <n v="0"/>
    <n v="0"/>
    <n v="6"/>
    <n v="0"/>
    <n v="0"/>
    <n v="2"/>
    <n v="0"/>
    <n v="0"/>
    <n v="213"/>
    <n v="3"/>
    <n v="2.1804878048780489"/>
    <m/>
    <n v="1.5"/>
  </r>
  <r>
    <d v="2014-10-22T00:00:00"/>
    <x v="12"/>
    <n v="3"/>
    <n v="18"/>
    <x v="1"/>
    <x v="0"/>
    <x v="1"/>
    <n v="105"/>
    <n v="0"/>
    <n v="0"/>
    <n v="0"/>
    <n v="0"/>
    <n v="0"/>
    <n v="0"/>
    <n v="0"/>
    <n v="4"/>
    <n v="0"/>
    <n v="0"/>
    <n v="109"/>
    <n v="2"/>
    <n v="4.0476190476190474"/>
    <m/>
    <n v="8.75"/>
  </r>
  <r>
    <d v="2014-10-22T00:00:00"/>
    <x v="12"/>
    <n v="4"/>
    <n v="18"/>
    <x v="1"/>
    <x v="0"/>
    <x v="1"/>
    <n v="170"/>
    <n v="0"/>
    <n v="0"/>
    <n v="0"/>
    <n v="0"/>
    <n v="0"/>
    <n v="0"/>
    <n v="0"/>
    <n v="2"/>
    <n v="0"/>
    <n v="0"/>
    <n v="172"/>
    <n v="2"/>
    <n v="4.2823529411764705"/>
    <m/>
    <n v="7.5"/>
  </r>
  <r>
    <d v="2015-10-21T00:00:00"/>
    <x v="13"/>
    <n v="1"/>
    <n v="12"/>
    <x v="1"/>
    <x v="1"/>
    <x v="1"/>
    <n v="56"/>
    <n v="0"/>
    <n v="0"/>
    <n v="0"/>
    <n v="0"/>
    <n v="0"/>
    <n v="0"/>
    <n v="0"/>
    <n v="0"/>
    <n v="0"/>
    <n v="0"/>
    <n v="56"/>
    <n v="1"/>
    <n v="1.7857142857142858"/>
    <m/>
    <m/>
  </r>
  <r>
    <d v="2015-10-21T00:00:00"/>
    <x v="13"/>
    <n v="2"/>
    <n v="12"/>
    <x v="1"/>
    <x v="1"/>
    <x v="1"/>
    <n v="47"/>
    <n v="0"/>
    <n v="1"/>
    <n v="0"/>
    <n v="0"/>
    <n v="0"/>
    <n v="0"/>
    <n v="0"/>
    <n v="0"/>
    <n v="0"/>
    <n v="0"/>
    <n v="48"/>
    <n v="2"/>
    <n v="1.7021276595744681"/>
    <m/>
    <m/>
  </r>
  <r>
    <d v="2015-10-21T00:00:00"/>
    <x v="13"/>
    <n v="3"/>
    <n v="12"/>
    <x v="1"/>
    <x v="0"/>
    <x v="1"/>
    <n v="17"/>
    <n v="0"/>
    <n v="0"/>
    <n v="0"/>
    <n v="0"/>
    <n v="0"/>
    <n v="0"/>
    <n v="0"/>
    <n v="0"/>
    <n v="0"/>
    <n v="0"/>
    <n v="17"/>
    <n v="1"/>
    <n v="1.4705882352941178"/>
    <m/>
    <m/>
  </r>
  <r>
    <d v="2015-10-21T00:00:00"/>
    <x v="13"/>
    <n v="4"/>
    <n v="12"/>
    <x v="1"/>
    <x v="0"/>
    <x v="1"/>
    <n v="4"/>
    <n v="0"/>
    <n v="0"/>
    <n v="0"/>
    <n v="0"/>
    <n v="0"/>
    <n v="0"/>
    <n v="0"/>
    <n v="0"/>
    <n v="0"/>
    <n v="0"/>
    <n v="4"/>
    <n v="1"/>
    <n v="2.5"/>
    <m/>
    <m/>
  </r>
  <r>
    <d v="2016-05-10T00:00:00"/>
    <x v="14"/>
    <n v="1"/>
    <n v="1.25"/>
    <x v="0"/>
    <x v="1"/>
    <x v="1"/>
    <n v="44"/>
    <n v="0"/>
    <n v="0"/>
    <n v="0"/>
    <n v="0"/>
    <n v="0"/>
    <n v="0"/>
    <n v="0"/>
    <n v="0"/>
    <n v="0"/>
    <n v="0"/>
    <n v="44"/>
    <n v="1"/>
    <n v="2.2727272727272729"/>
    <m/>
    <m/>
  </r>
  <r>
    <d v="2016-05-10T00:00:00"/>
    <x v="14"/>
    <n v="2"/>
    <n v="2.25"/>
    <x v="0"/>
    <x v="1"/>
    <x v="1"/>
    <n v="9"/>
    <n v="0"/>
    <n v="0"/>
    <n v="0"/>
    <n v="0"/>
    <n v="0"/>
    <n v="0"/>
    <n v="0"/>
    <n v="0"/>
    <n v="0"/>
    <n v="0"/>
    <n v="9"/>
    <n v="1"/>
    <n v="1.6666666666666667"/>
    <m/>
    <m/>
  </r>
  <r>
    <d v="2016-05-10T00:00:00"/>
    <x v="14"/>
    <n v="3"/>
    <n v="2.25"/>
    <x v="0"/>
    <x v="0"/>
    <x v="1"/>
    <n v="0"/>
    <n v="0"/>
    <n v="0"/>
    <n v="0"/>
    <n v="0"/>
    <n v="0"/>
    <n v="0"/>
    <n v="0"/>
    <n v="0"/>
    <n v="0"/>
    <n v="0"/>
    <n v="0"/>
    <n v="0"/>
    <m/>
    <m/>
    <m/>
  </r>
  <r>
    <d v="2016-05-10T00:00:00"/>
    <x v="14"/>
    <n v="4"/>
    <n v="1.75"/>
    <x v="0"/>
    <x v="0"/>
    <x v="1"/>
    <n v="201"/>
    <n v="0"/>
    <n v="0"/>
    <n v="0"/>
    <n v="0"/>
    <n v="0"/>
    <n v="0"/>
    <n v="0"/>
    <n v="0"/>
    <n v="0"/>
    <n v="0"/>
    <n v="201"/>
    <n v="1"/>
    <n v="1.5671641791044777"/>
    <m/>
    <m/>
  </r>
  <r>
    <d v="2016-10-06T00:00:00"/>
    <x v="14"/>
    <n v="1"/>
    <n v="18"/>
    <x v="1"/>
    <x v="1"/>
    <x v="1"/>
    <n v="53"/>
    <n v="0"/>
    <n v="0"/>
    <n v="0"/>
    <n v="0"/>
    <n v="2"/>
    <n v="0"/>
    <n v="0"/>
    <n v="2"/>
    <n v="0"/>
    <n v="0"/>
    <n v="57"/>
    <n v="3"/>
    <n v="3.3018867924528301"/>
    <m/>
    <n v="2.5"/>
  </r>
  <r>
    <d v="2016-10-06T00:00:00"/>
    <x v="14"/>
    <n v="2"/>
    <n v="18"/>
    <x v="1"/>
    <x v="1"/>
    <x v="1"/>
    <n v="138"/>
    <n v="0"/>
    <n v="0"/>
    <n v="0"/>
    <n v="0"/>
    <n v="0"/>
    <n v="0"/>
    <n v="0"/>
    <n v="1"/>
    <n v="0"/>
    <n v="0"/>
    <n v="139"/>
    <n v="2"/>
    <n v="2.6086956521739131"/>
    <m/>
    <n v="5"/>
  </r>
  <r>
    <d v="2016-10-06T00:00:00"/>
    <x v="14"/>
    <n v="3"/>
    <n v="18"/>
    <x v="1"/>
    <x v="0"/>
    <x v="1"/>
    <n v="119"/>
    <n v="0"/>
    <n v="0"/>
    <n v="0"/>
    <n v="0"/>
    <n v="0"/>
    <n v="0"/>
    <n v="0"/>
    <n v="1"/>
    <n v="0"/>
    <n v="0"/>
    <n v="120"/>
    <n v="2"/>
    <n v="4.53781512605042"/>
    <m/>
    <n v="4"/>
  </r>
  <r>
    <d v="2016-10-06T00:00:00"/>
    <x v="14"/>
    <n v="4"/>
    <n v="18"/>
    <x v="1"/>
    <x v="0"/>
    <x v="1"/>
    <n v="206"/>
    <n v="0"/>
    <n v="0"/>
    <n v="0"/>
    <n v="0"/>
    <n v="2"/>
    <n v="0"/>
    <n v="0"/>
    <n v="4"/>
    <n v="0"/>
    <n v="0"/>
    <n v="212"/>
    <n v="3"/>
    <n v="5.0728155339805827"/>
    <m/>
    <n v="4"/>
  </r>
  <r>
    <d v="2017-05-18T00:00:00"/>
    <x v="15"/>
    <n v="1"/>
    <m/>
    <x v="0"/>
    <x v="1"/>
    <x v="1"/>
    <n v="13"/>
    <n v="0"/>
    <n v="0"/>
    <n v="0"/>
    <n v="0"/>
    <n v="0"/>
    <n v="0"/>
    <n v="0"/>
    <n v="0"/>
    <n v="0"/>
    <n v="0"/>
    <n v="13"/>
    <n v="1"/>
    <n v="8.6669999999999998"/>
    <m/>
    <m/>
  </r>
  <r>
    <d v="2017-05-18T00:00:00"/>
    <x v="15"/>
    <n v="2"/>
    <m/>
    <x v="0"/>
    <x v="1"/>
    <x v="1"/>
    <n v="9"/>
    <n v="0"/>
    <n v="0"/>
    <n v="0"/>
    <n v="1"/>
    <n v="0"/>
    <n v="0"/>
    <n v="0"/>
    <n v="0"/>
    <n v="0"/>
    <n v="0"/>
    <n v="10"/>
    <n v="2"/>
    <n v="5.5"/>
    <n v="20"/>
    <m/>
  </r>
  <r>
    <d v="2017-05-18T00:00:00"/>
    <x v="15"/>
    <n v="3"/>
    <m/>
    <x v="0"/>
    <x v="0"/>
    <x v="1"/>
    <n v="5"/>
    <n v="0"/>
    <n v="0"/>
    <n v="0"/>
    <n v="0"/>
    <n v="0"/>
    <n v="0"/>
    <n v="0"/>
    <n v="0"/>
    <n v="0"/>
    <n v="0"/>
    <n v="5"/>
    <n v="1"/>
    <n v="5"/>
    <m/>
    <m/>
  </r>
  <r>
    <d v="2017-05-18T00:00:00"/>
    <x v="15"/>
    <n v="4"/>
    <m/>
    <x v="0"/>
    <x v="0"/>
    <x v="1"/>
    <n v="26"/>
    <n v="0"/>
    <n v="0"/>
    <n v="0"/>
    <n v="0"/>
    <n v="0"/>
    <n v="0"/>
    <n v="0"/>
    <n v="0"/>
    <n v="0"/>
    <n v="0"/>
    <n v="26"/>
    <n v="1"/>
    <n v="3.02"/>
    <m/>
    <m/>
  </r>
  <r>
    <d v="2018-05-10T00:00:00"/>
    <x v="16"/>
    <n v="1"/>
    <n v="14"/>
    <x v="0"/>
    <x v="1"/>
    <x v="1"/>
    <n v="6"/>
    <n v="0"/>
    <n v="0"/>
    <n v="0"/>
    <n v="1"/>
    <n v="0"/>
    <n v="0"/>
    <n v="0"/>
    <n v="0"/>
    <n v="0"/>
    <n v="0"/>
    <n v="7"/>
    <n v="1"/>
    <n v="3"/>
    <m/>
    <m/>
  </r>
  <r>
    <d v="2018-05-10T00:00:00"/>
    <x v="16"/>
    <n v="2"/>
    <n v="14"/>
    <x v="0"/>
    <x v="1"/>
    <x v="1"/>
    <n v="3"/>
    <n v="0"/>
    <n v="0"/>
    <n v="0"/>
    <n v="0"/>
    <n v="0"/>
    <n v="0"/>
    <n v="0"/>
    <n v="0"/>
    <n v="0"/>
    <n v="0"/>
    <n v="3"/>
    <n v="1"/>
    <n v="2"/>
    <m/>
    <m/>
  </r>
  <r>
    <d v="2018-05-10T00:00:00"/>
    <x v="16"/>
    <n v="3"/>
    <n v="14"/>
    <x v="0"/>
    <x v="0"/>
    <x v="1"/>
    <n v="32"/>
    <n v="0"/>
    <n v="0"/>
    <n v="0"/>
    <n v="0"/>
    <n v="0"/>
    <n v="0"/>
    <n v="0"/>
    <n v="0"/>
    <n v="0"/>
    <n v="0"/>
    <n v="32"/>
    <n v="2"/>
    <n v="2.1875"/>
    <m/>
    <m/>
  </r>
  <r>
    <d v="2018-05-10T00:00:00"/>
    <x v="16"/>
    <n v="4"/>
    <n v="14"/>
    <x v="0"/>
    <x v="0"/>
    <x v="1"/>
    <n v="0"/>
    <n v="0"/>
    <n v="0"/>
    <n v="0"/>
    <n v="0"/>
    <n v="0"/>
    <n v="0"/>
    <n v="0"/>
    <n v="0"/>
    <n v="0"/>
    <n v="0"/>
    <n v="0"/>
    <n v="0"/>
    <m/>
    <m/>
    <m/>
  </r>
  <r>
    <d v="2018-10-19T00:00:00"/>
    <x v="16"/>
    <n v="1"/>
    <n v="16"/>
    <x v="1"/>
    <x v="1"/>
    <x v="1"/>
    <n v="8"/>
    <n v="0"/>
    <n v="0"/>
    <n v="0"/>
    <n v="0"/>
    <n v="0"/>
    <n v="0"/>
    <n v="0"/>
    <n v="1"/>
    <n v="0"/>
    <n v="0"/>
    <n v="9"/>
    <n v="2"/>
    <n v="2.5"/>
    <m/>
    <n v="1"/>
  </r>
  <r>
    <d v="2018-10-19T00:00:00"/>
    <x v="16"/>
    <n v="2"/>
    <n v="16"/>
    <x v="1"/>
    <x v="1"/>
    <x v="1"/>
    <n v="0"/>
    <n v="0"/>
    <n v="0"/>
    <n v="0"/>
    <n v="0"/>
    <n v="0"/>
    <n v="0"/>
    <n v="0"/>
    <n v="0"/>
    <n v="0"/>
    <n v="0"/>
    <n v="0"/>
    <n v="0"/>
    <m/>
    <m/>
    <m/>
  </r>
  <r>
    <d v="2018-10-19T00:00:00"/>
    <x v="16"/>
    <n v="3"/>
    <n v="16"/>
    <x v="1"/>
    <x v="0"/>
    <x v="1"/>
    <n v="150"/>
    <n v="0"/>
    <n v="0"/>
    <n v="0"/>
    <n v="0"/>
    <n v="0"/>
    <n v="0"/>
    <n v="0"/>
    <n v="0"/>
    <n v="0"/>
    <n v="0"/>
    <n v="150"/>
    <n v="1"/>
    <n v="3.0066666666666668"/>
    <m/>
    <m/>
  </r>
  <r>
    <d v="2018-10-19T00:00:00"/>
    <x v="16"/>
    <n v="4"/>
    <n v="16"/>
    <x v="1"/>
    <x v="0"/>
    <x v="1"/>
    <n v="162"/>
    <n v="0"/>
    <n v="0"/>
    <n v="0"/>
    <n v="0"/>
    <n v="0"/>
    <n v="0"/>
    <n v="0"/>
    <n v="0"/>
    <n v="0"/>
    <n v="0"/>
    <n v="162"/>
    <n v="1"/>
    <n v="2.419753086419753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27" cacheId="2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12:D16" firstHeaderRow="1" firstDataRow="2" firstDataCol="1"/>
  <pivotFields count="23">
    <pivotField compact="0" numFmtId="14" outline="0" subtotalTop="0" showAll="0" includeNewItemsInFilter="1"/>
    <pivotField compact="0" numFmtId="1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axis="axisCol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5"/>
  </rowFields>
  <rowItems count="3">
    <i>
      <x/>
    </i>
    <i>
      <x v="1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Average of Vol. Mummichog" fld="20" subtotal="average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72:D91" firstHeaderRow="1" firstDataRow="2" firstDataCol="1"/>
  <pivotFields count="23">
    <pivotField numFmtId="14" showAll="0"/>
    <pivotField axis="axisRow" numFmtId="1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European Shrimp" fld="12" baseField="0" baseItem="0"/>
    <dataField name="Sum of Grass Shrimp" fld="13" baseField="0" baseItem="0"/>
    <dataField name="Sum of Sand Shrimp" fld="14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1" cacheId="1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49:H62" firstHeaderRow="1" firstDataRow="3" firstDataCol="1"/>
  <pivotFields count="23">
    <pivotField compact="0" numFmtId="14" outline="0" subtotalTop="0" showAll="0" includeNewItemsInFilter="1"/>
    <pivotField compact="0" numFmtId="1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dataField="1" compact="0" outline="0" subtotalTop="0" showAll="0" includeNewItemsInFilter="1">
      <items count="3">
        <item x="1"/>
        <item x="0"/>
        <item t="default"/>
      </items>
    </pivotField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-2"/>
  </rowFields>
  <row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rowItems>
  <colFields count="2">
    <field x="5"/>
    <field x="6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1">
    <dataField name="Count of Mummichog" fld="7" subtotal="count" baseField="0" baseItem="0"/>
    <dataField name="Count of 3-spined stickleback" fld="8" subtotal="count" baseField="0" baseItem="0"/>
    <dataField name="Count of 9 spined stickleback" fld="9" subtotal="count" baseField="0" baseItem="0"/>
    <dataField name="Count of Amphipod" fld="10" subtotal="count" baseField="0" baseItem="0"/>
    <dataField name="Count of American Eel" fld="11" subtotal="count" baseField="0" baseItem="0"/>
    <dataField name="Count of European Shrimp" fld="12" subtotal="count" baseField="0" baseItem="0"/>
    <dataField name="Count of Green Crab" fld="15" subtotal="count" baseField="0" baseItem="0"/>
    <dataField name="Count of Grass Shrimp" fld="13" subtotal="count" baseField="0" baseItem="0"/>
    <dataField name="Count of Sand Shrimp" fld="14" subtotal="count" baseField="0" baseItem="0"/>
    <dataField name="Count of Beetles" fld="17" subtotal="count" baseField="0" baseItem="0"/>
    <dataField name="Count of Area" fld="5" subtotal="count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157:T164" firstHeaderRow="1" firstDataRow="2" firstDataCol="1"/>
  <pivotFields count="24">
    <pivotField numFmtId="14" showAll="0"/>
    <pivotField axis="axisCol" numFmtI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axis="axisRow" showAll="0">
      <items count="6">
        <item x="3"/>
        <item x="4"/>
        <item x="1"/>
        <item x="0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Average of Mummichog" fld="7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2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95:E133" firstHeaderRow="1" firstDataRow="2" firstDataCol="2"/>
  <pivotFields count="23">
    <pivotField compact="0" numFmtId="14" outline="0" subtotalTop="0" showAll="0" includeNewItemsInFilter="1"/>
    <pivotField axis="axisRow" compact="0" numFmtId="1" outline="0" subtotalTop="0" showAll="0" includeNewItemsInFilter="1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5"/>
    <field x="1"/>
  </rowFields>
  <rowItems count="3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t="default">
      <x v="1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Average of Mummichog" fld="7" subtotal="average" baseField="0" baseItem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139:T146" firstHeaderRow="1" firstDataRow="2" firstDataCol="1"/>
  <pivotFields count="24">
    <pivotField numFmtId="14" showAll="0"/>
    <pivotField axis="axisCol" numFmtI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axis="axisRow" showAll="0">
      <items count="6">
        <item x="3"/>
        <item x="4"/>
        <item x="1"/>
        <item x="0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Sum of Mummichog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5" cacheId="2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3:D7" firstHeaderRow="1" firstDataRow="2" firstDataCol="1"/>
  <pivotFields count="23">
    <pivotField compact="0" numFmtId="14" outline="0" subtotalTop="0" showAll="0" includeNewItemsInFilter="1"/>
    <pivotField compact="0" numFmtId="1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5"/>
  </rowFields>
  <rowItems count="3">
    <i>
      <x/>
    </i>
    <i>
      <x v="1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Average of Mummichog" fld="7" subtotal="average" baseField="0" baseItem="0"/>
  </dataField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29" cacheId="2" dataOnRows="1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temPrintTitles="1" indent="0" compact="0" compactData="0" gridDropZones="1">
  <location ref="A19:E23" firstHeaderRow="1" firstDataRow="2" firstDataCol="1"/>
  <pivotFields count="23">
    <pivotField compact="0" numFmtId="14" outline="0" subtotalTop="0" showAll="0" includeNewItemsInFilter="1"/>
    <pivotField compact="0" numFmtId="1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6"/>
  </rowFields>
  <rowItems count="3">
    <i>
      <x/>
    </i>
    <i>
      <x v="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Vol. Mummichog" fld="20" subtotal="average" baseField="0" baseItem="0"/>
  </dataFields>
  <formats count="1">
    <format dxfId="2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5"/>
  <sheetViews>
    <sheetView tabSelected="1" zoomScaleNormal="100" workbookViewId="0">
      <pane xSplit="4" ySplit="5" topLeftCell="E69" activePane="bottomRight" state="frozen"/>
      <selection pane="topRight" activeCell="D1" sqref="D1"/>
      <selection pane="bottomLeft" activeCell="A6" sqref="A6"/>
      <selection pane="bottomRight" activeCell="X76" sqref="X76"/>
    </sheetView>
  </sheetViews>
  <sheetFormatPr defaultRowHeight="12.75" x14ac:dyDescent="0.2"/>
  <cols>
    <col min="1" max="1" width="11.5703125" customWidth="1"/>
    <col min="2" max="2" width="8" customWidth="1"/>
    <col min="7" max="7" width="10.140625" customWidth="1"/>
    <col min="8" max="18" width="4.5703125" customWidth="1"/>
    <col min="21" max="24" width="5.7109375" customWidth="1"/>
  </cols>
  <sheetData>
    <row r="1" spans="1:25" x14ac:dyDescent="0.2">
      <c r="A1" s="5" t="s">
        <v>13</v>
      </c>
      <c r="B1" s="5"/>
      <c r="S1" t="s">
        <v>55</v>
      </c>
      <c r="T1">
        <f>SUM(H6:H404)</f>
        <v>9343</v>
      </c>
    </row>
    <row r="2" spans="1:25" x14ac:dyDescent="0.2">
      <c r="A2" s="5" t="s">
        <v>4</v>
      </c>
      <c r="B2" s="5"/>
      <c r="H2" t="s">
        <v>23</v>
      </c>
    </row>
    <row r="3" spans="1:25" x14ac:dyDescent="0.2">
      <c r="A3" s="5" t="s">
        <v>5</v>
      </c>
      <c r="B3" s="5"/>
      <c r="F3" t="s">
        <v>74</v>
      </c>
      <c r="U3" s="6" t="s">
        <v>8</v>
      </c>
      <c r="V3" s="6"/>
      <c r="W3" s="6"/>
      <c r="X3" s="6"/>
    </row>
    <row r="4" spans="1:25" x14ac:dyDescent="0.2">
      <c r="A4" s="5" t="s">
        <v>16</v>
      </c>
      <c r="B4" s="5"/>
    </row>
    <row r="5" spans="1:25" ht="112.5" x14ac:dyDescent="0.2">
      <c r="A5" s="1" t="s">
        <v>0</v>
      </c>
      <c r="B5" s="1" t="s">
        <v>66</v>
      </c>
      <c r="C5" s="2" t="s">
        <v>1</v>
      </c>
      <c r="D5" s="3" t="s">
        <v>18</v>
      </c>
      <c r="E5" s="3" t="s">
        <v>32</v>
      </c>
      <c r="F5" s="3" t="s">
        <v>2</v>
      </c>
      <c r="G5" s="4" t="s">
        <v>19</v>
      </c>
      <c r="H5" s="4" t="s">
        <v>3</v>
      </c>
      <c r="I5" s="4" t="s">
        <v>22</v>
      </c>
      <c r="J5" s="4" t="s">
        <v>24</v>
      </c>
      <c r="K5" s="4" t="s">
        <v>25</v>
      </c>
      <c r="L5" s="4" t="s">
        <v>6</v>
      </c>
      <c r="M5" s="4" t="s">
        <v>56</v>
      </c>
      <c r="N5" s="4" t="s">
        <v>57</v>
      </c>
      <c r="O5" s="4" t="s">
        <v>58</v>
      </c>
      <c r="P5" s="4" t="s">
        <v>11</v>
      </c>
      <c r="Q5" s="4" t="s">
        <v>52</v>
      </c>
      <c r="R5" s="4" t="s">
        <v>7</v>
      </c>
      <c r="S5" s="3" t="s">
        <v>9</v>
      </c>
      <c r="T5" s="3" t="s">
        <v>10</v>
      </c>
      <c r="U5" s="4" t="s">
        <v>28</v>
      </c>
      <c r="V5" s="4" t="s">
        <v>29</v>
      </c>
      <c r="W5" s="4" t="s">
        <v>30</v>
      </c>
      <c r="X5" s="4" t="s">
        <v>68</v>
      </c>
      <c r="Y5" s="6" t="s">
        <v>12</v>
      </c>
    </row>
    <row r="6" spans="1:25" x14ac:dyDescent="0.2">
      <c r="A6" s="7">
        <v>37370</v>
      </c>
      <c r="B6" s="30">
        <v>2002</v>
      </c>
      <c r="C6">
        <v>4</v>
      </c>
      <c r="D6">
        <v>19</v>
      </c>
      <c r="E6" t="s">
        <v>33</v>
      </c>
      <c r="F6" t="s">
        <v>14</v>
      </c>
      <c r="G6" t="s">
        <v>20</v>
      </c>
      <c r="H6">
        <v>7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f t="shared" ref="S6:S50" si="0">SUM(H6:R6)</f>
        <v>7</v>
      </c>
      <c r="T6">
        <v>1</v>
      </c>
      <c r="U6" s="8">
        <f>25/7</f>
        <v>3.5714285714285716</v>
      </c>
    </row>
    <row r="7" spans="1:25" x14ac:dyDescent="0.2">
      <c r="A7" s="7">
        <v>37370</v>
      </c>
      <c r="B7" s="30">
        <v>2002</v>
      </c>
      <c r="C7">
        <v>3</v>
      </c>
      <c r="D7">
        <v>19</v>
      </c>
      <c r="E7" t="s">
        <v>33</v>
      </c>
      <c r="F7" t="s">
        <v>14</v>
      </c>
      <c r="G7" t="s">
        <v>20</v>
      </c>
      <c r="H7">
        <v>23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f t="shared" si="0"/>
        <v>23</v>
      </c>
      <c r="T7">
        <v>1</v>
      </c>
      <c r="U7" s="8">
        <f>110/23</f>
        <v>4.7826086956521738</v>
      </c>
    </row>
    <row r="8" spans="1:25" x14ac:dyDescent="0.2">
      <c r="A8" s="7">
        <v>37370</v>
      </c>
      <c r="B8" s="30">
        <v>2002</v>
      </c>
      <c r="C8" t="s">
        <v>15</v>
      </c>
      <c r="D8">
        <v>0.5</v>
      </c>
      <c r="E8" t="s">
        <v>33</v>
      </c>
      <c r="F8" t="s">
        <v>17</v>
      </c>
      <c r="G8" t="s">
        <v>20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f t="shared" si="0"/>
        <v>0</v>
      </c>
      <c r="T8">
        <v>0</v>
      </c>
      <c r="U8" s="8"/>
    </row>
    <row r="9" spans="1:25" x14ac:dyDescent="0.2">
      <c r="A9" s="7">
        <v>37384</v>
      </c>
      <c r="B9" s="30">
        <v>2002</v>
      </c>
      <c r="C9">
        <v>3</v>
      </c>
      <c r="D9">
        <v>20</v>
      </c>
      <c r="E9" t="s">
        <v>33</v>
      </c>
      <c r="F9" t="s">
        <v>14</v>
      </c>
      <c r="G9" t="s">
        <v>20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2</v>
      </c>
      <c r="S9">
        <f>SUM(H9:R9)</f>
        <v>2</v>
      </c>
      <c r="T9">
        <v>1</v>
      </c>
      <c r="U9" s="8"/>
    </row>
    <row r="10" spans="1:25" x14ac:dyDescent="0.2">
      <c r="A10" s="7">
        <v>37384</v>
      </c>
      <c r="B10" s="30">
        <v>2002</v>
      </c>
      <c r="C10">
        <v>4</v>
      </c>
      <c r="D10">
        <v>20</v>
      </c>
      <c r="E10" t="s">
        <v>33</v>
      </c>
      <c r="F10" t="s">
        <v>14</v>
      </c>
      <c r="G10" t="s">
        <v>20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f t="shared" si="0"/>
        <v>1</v>
      </c>
      <c r="T10">
        <v>1</v>
      </c>
      <c r="U10" s="8"/>
      <c r="V10">
        <f>10/1</f>
        <v>10</v>
      </c>
    </row>
    <row r="11" spans="1:25" x14ac:dyDescent="0.2">
      <c r="A11" s="7">
        <v>37384</v>
      </c>
      <c r="B11" s="30">
        <v>2002</v>
      </c>
      <c r="C11" t="s">
        <v>15</v>
      </c>
      <c r="D11">
        <v>0.5</v>
      </c>
      <c r="E11" t="s">
        <v>33</v>
      </c>
      <c r="F11" t="s">
        <v>17</v>
      </c>
      <c r="G11" t="s">
        <v>20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f t="shared" si="0"/>
        <v>0</v>
      </c>
      <c r="T11">
        <v>0</v>
      </c>
      <c r="U11" s="8"/>
    </row>
    <row r="12" spans="1:25" x14ac:dyDescent="0.2">
      <c r="A12" s="7">
        <v>37398</v>
      </c>
      <c r="B12" s="30">
        <v>2002</v>
      </c>
      <c r="C12">
        <v>4</v>
      </c>
      <c r="D12">
        <v>20.5</v>
      </c>
      <c r="E12" t="s">
        <v>33</v>
      </c>
      <c r="F12" t="s">
        <v>14</v>
      </c>
      <c r="G12" t="s">
        <v>20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f t="shared" si="0"/>
        <v>1</v>
      </c>
      <c r="T12">
        <v>1</v>
      </c>
      <c r="U12" s="8">
        <f>5/1</f>
        <v>5</v>
      </c>
    </row>
    <row r="13" spans="1:25" x14ac:dyDescent="0.2">
      <c r="A13" s="7">
        <v>37398</v>
      </c>
      <c r="B13" s="30">
        <v>2002</v>
      </c>
      <c r="C13" t="s">
        <v>15</v>
      </c>
      <c r="D13">
        <v>0.5</v>
      </c>
      <c r="E13" t="s">
        <v>33</v>
      </c>
      <c r="F13" t="s">
        <v>17</v>
      </c>
      <c r="G13" t="s">
        <v>20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f t="shared" si="0"/>
        <v>0</v>
      </c>
      <c r="T13">
        <v>0</v>
      </c>
    </row>
    <row r="14" spans="1:25" x14ac:dyDescent="0.2">
      <c r="A14" s="7">
        <v>37775</v>
      </c>
      <c r="B14" s="30">
        <v>2003</v>
      </c>
      <c r="C14">
        <v>1</v>
      </c>
      <c r="D14">
        <v>26</v>
      </c>
      <c r="E14" t="s">
        <v>33</v>
      </c>
      <c r="F14" t="s">
        <v>17</v>
      </c>
      <c r="G14" t="s">
        <v>20</v>
      </c>
      <c r="H14">
        <v>14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2</v>
      </c>
      <c r="P14">
        <v>0</v>
      </c>
      <c r="Q14">
        <v>0</v>
      </c>
      <c r="R14">
        <v>0</v>
      </c>
      <c r="S14">
        <f t="shared" si="0"/>
        <v>16</v>
      </c>
      <c r="T14">
        <v>2</v>
      </c>
      <c r="U14">
        <v>2.1</v>
      </c>
    </row>
    <row r="15" spans="1:25" x14ac:dyDescent="0.2">
      <c r="A15" s="7">
        <v>37775</v>
      </c>
      <c r="B15" s="30">
        <v>2003</v>
      </c>
      <c r="C15">
        <v>3</v>
      </c>
      <c r="D15">
        <v>27.5</v>
      </c>
      <c r="E15" t="s">
        <v>33</v>
      </c>
      <c r="F15" t="s">
        <v>14</v>
      </c>
      <c r="G15" t="s">
        <v>20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f t="shared" si="0"/>
        <v>1</v>
      </c>
      <c r="T15">
        <v>1</v>
      </c>
      <c r="U15">
        <v>3</v>
      </c>
    </row>
    <row r="16" spans="1:25" x14ac:dyDescent="0.2">
      <c r="A16" s="7">
        <v>38163</v>
      </c>
      <c r="B16" s="30">
        <v>2004</v>
      </c>
      <c r="C16">
        <v>1</v>
      </c>
      <c r="D16">
        <v>13</v>
      </c>
      <c r="E16" t="s">
        <v>33</v>
      </c>
      <c r="F16" t="s">
        <v>17</v>
      </c>
      <c r="G16" t="s">
        <v>21</v>
      </c>
      <c r="H16">
        <v>35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12</v>
      </c>
      <c r="Q16">
        <v>0</v>
      </c>
      <c r="R16">
        <v>0</v>
      </c>
      <c r="S16">
        <f t="shared" si="0"/>
        <v>47</v>
      </c>
      <c r="T16">
        <v>2</v>
      </c>
      <c r="U16">
        <v>4.2</v>
      </c>
      <c r="W16">
        <v>7</v>
      </c>
    </row>
    <row r="17" spans="1:23" x14ac:dyDescent="0.2">
      <c r="A17" s="7">
        <v>38163</v>
      </c>
      <c r="B17" s="30">
        <v>2004</v>
      </c>
      <c r="C17">
        <v>2</v>
      </c>
      <c r="D17">
        <v>13</v>
      </c>
      <c r="E17" t="s">
        <v>33</v>
      </c>
      <c r="F17" t="s">
        <v>17</v>
      </c>
      <c r="G17" t="s">
        <v>21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f t="shared" si="0"/>
        <v>0</v>
      </c>
      <c r="T17">
        <v>0</v>
      </c>
    </row>
    <row r="18" spans="1:23" x14ac:dyDescent="0.2">
      <c r="A18" s="7">
        <v>38163</v>
      </c>
      <c r="B18" s="30">
        <v>2004</v>
      </c>
      <c r="C18">
        <v>3</v>
      </c>
      <c r="D18">
        <v>13</v>
      </c>
      <c r="E18" t="s">
        <v>33</v>
      </c>
      <c r="F18" t="s">
        <v>14</v>
      </c>
      <c r="G18" t="s">
        <v>21</v>
      </c>
      <c r="H18">
        <v>14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f t="shared" si="0"/>
        <v>15</v>
      </c>
      <c r="T18">
        <v>2</v>
      </c>
      <c r="U18">
        <v>3.6</v>
      </c>
    </row>
    <row r="19" spans="1:23" x14ac:dyDescent="0.2">
      <c r="A19" s="7">
        <v>38163</v>
      </c>
      <c r="B19" s="30">
        <v>2004</v>
      </c>
      <c r="C19">
        <v>4</v>
      </c>
      <c r="D19">
        <v>13</v>
      </c>
      <c r="E19" t="s">
        <v>33</v>
      </c>
      <c r="F19" t="s">
        <v>14</v>
      </c>
      <c r="G19" t="s">
        <v>21</v>
      </c>
      <c r="H19">
        <v>13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f t="shared" si="0"/>
        <v>13</v>
      </c>
      <c r="T19">
        <v>1</v>
      </c>
      <c r="U19">
        <v>3.6</v>
      </c>
    </row>
    <row r="20" spans="1:23" x14ac:dyDescent="0.2">
      <c r="A20" s="7">
        <v>38253</v>
      </c>
      <c r="B20" s="30">
        <v>2004</v>
      </c>
      <c r="C20">
        <v>1</v>
      </c>
      <c r="D20">
        <v>14</v>
      </c>
      <c r="E20" t="s">
        <v>34</v>
      </c>
      <c r="F20" t="s">
        <v>17</v>
      </c>
      <c r="G20" t="s">
        <v>21</v>
      </c>
      <c r="H20">
        <v>133</v>
      </c>
      <c r="I20">
        <v>0</v>
      </c>
      <c r="J20">
        <v>1</v>
      </c>
      <c r="K20">
        <v>1</v>
      </c>
      <c r="L20">
        <v>0</v>
      </c>
      <c r="M20">
        <v>0</v>
      </c>
      <c r="N20">
        <v>0</v>
      </c>
      <c r="O20">
        <v>0</v>
      </c>
      <c r="P20">
        <v>5</v>
      </c>
      <c r="Q20">
        <v>0</v>
      </c>
      <c r="R20">
        <v>0</v>
      </c>
      <c r="S20">
        <f t="shared" si="0"/>
        <v>140</v>
      </c>
      <c r="T20">
        <v>4</v>
      </c>
      <c r="U20">
        <f>270/133</f>
        <v>2.030075187969925</v>
      </c>
      <c r="W20">
        <v>5</v>
      </c>
    </row>
    <row r="21" spans="1:23" x14ac:dyDescent="0.2">
      <c r="A21" s="7">
        <v>38253</v>
      </c>
      <c r="B21" s="30">
        <v>2004</v>
      </c>
      <c r="C21">
        <v>2</v>
      </c>
      <c r="D21">
        <v>14</v>
      </c>
      <c r="E21" t="s">
        <v>34</v>
      </c>
      <c r="F21" t="s">
        <v>17</v>
      </c>
      <c r="G21" t="s">
        <v>21</v>
      </c>
      <c r="H21">
        <v>124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2</v>
      </c>
      <c r="Q21">
        <v>0</v>
      </c>
      <c r="R21">
        <v>0</v>
      </c>
      <c r="S21">
        <f t="shared" si="0"/>
        <v>126</v>
      </c>
      <c r="T21">
        <v>2</v>
      </c>
      <c r="U21">
        <f>210/124</f>
        <v>1.6935483870967742</v>
      </c>
      <c r="W21">
        <v>5</v>
      </c>
    </row>
    <row r="22" spans="1:23" x14ac:dyDescent="0.2">
      <c r="A22" s="7">
        <v>38253</v>
      </c>
      <c r="B22" s="30">
        <v>2004</v>
      </c>
      <c r="C22">
        <v>3</v>
      </c>
      <c r="D22">
        <v>17.5</v>
      </c>
      <c r="E22" t="s">
        <v>34</v>
      </c>
      <c r="F22" t="s">
        <v>14</v>
      </c>
      <c r="G22" t="s">
        <v>21</v>
      </c>
      <c r="H22">
        <v>78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3</v>
      </c>
      <c r="Q22">
        <v>0</v>
      </c>
      <c r="R22">
        <v>0</v>
      </c>
      <c r="S22">
        <f t="shared" si="0"/>
        <v>82</v>
      </c>
      <c r="T22">
        <v>3</v>
      </c>
      <c r="U22">
        <f>210/78</f>
        <v>2.6923076923076925</v>
      </c>
      <c r="W22">
        <v>5</v>
      </c>
    </row>
    <row r="23" spans="1:23" x14ac:dyDescent="0.2">
      <c r="A23" s="7">
        <v>38253</v>
      </c>
      <c r="B23" s="30">
        <v>2004</v>
      </c>
      <c r="C23">
        <v>4</v>
      </c>
      <c r="D23">
        <v>17.5</v>
      </c>
      <c r="E23" t="s">
        <v>34</v>
      </c>
      <c r="F23" t="s">
        <v>14</v>
      </c>
      <c r="G23" t="s">
        <v>21</v>
      </c>
      <c r="H23">
        <v>37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2</v>
      </c>
      <c r="Q23">
        <v>0</v>
      </c>
      <c r="R23">
        <v>0</v>
      </c>
      <c r="S23">
        <f t="shared" si="0"/>
        <v>39</v>
      </c>
      <c r="T23">
        <v>2</v>
      </c>
      <c r="U23">
        <f>70/37</f>
        <v>1.8918918918918919</v>
      </c>
      <c r="W23">
        <v>5</v>
      </c>
    </row>
    <row r="24" spans="1:23" x14ac:dyDescent="0.2">
      <c r="A24" s="7">
        <v>38540</v>
      </c>
      <c r="B24" s="30">
        <v>2005</v>
      </c>
      <c r="C24">
        <v>1</v>
      </c>
      <c r="D24">
        <v>15</v>
      </c>
      <c r="E24" t="s">
        <v>49</v>
      </c>
      <c r="F24" t="s">
        <v>17</v>
      </c>
      <c r="G24" t="s">
        <v>21</v>
      </c>
      <c r="H24">
        <v>70</v>
      </c>
      <c r="I24">
        <v>0</v>
      </c>
      <c r="J24">
        <v>0</v>
      </c>
      <c r="K24">
        <v>2</v>
      </c>
      <c r="L24">
        <v>3</v>
      </c>
      <c r="M24">
        <v>0</v>
      </c>
      <c r="N24">
        <v>0</v>
      </c>
      <c r="O24">
        <v>0</v>
      </c>
      <c r="P24">
        <v>2</v>
      </c>
      <c r="Q24">
        <v>0</v>
      </c>
      <c r="R24">
        <v>0</v>
      </c>
      <c r="S24">
        <f>SUM(H24:R24)</f>
        <v>77</v>
      </c>
      <c r="T24">
        <v>4</v>
      </c>
      <c r="U24">
        <f>250/70</f>
        <v>3.5714285714285716</v>
      </c>
      <c r="V24">
        <f>28/3</f>
        <v>9.3333333333333339</v>
      </c>
      <c r="W24">
        <v>2.5</v>
      </c>
    </row>
    <row r="25" spans="1:23" x14ac:dyDescent="0.2">
      <c r="A25" s="7">
        <v>38540</v>
      </c>
      <c r="B25" s="30">
        <v>2005</v>
      </c>
      <c r="C25">
        <v>2</v>
      </c>
      <c r="D25">
        <v>15</v>
      </c>
      <c r="E25" t="s">
        <v>49</v>
      </c>
      <c r="F25" t="s">
        <v>17</v>
      </c>
      <c r="G25" t="s">
        <v>21</v>
      </c>
      <c r="H25">
        <v>101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2</v>
      </c>
      <c r="Q25">
        <v>0</v>
      </c>
      <c r="R25">
        <v>0</v>
      </c>
      <c r="S25">
        <f t="shared" si="0"/>
        <v>103</v>
      </c>
      <c r="T25">
        <v>2</v>
      </c>
      <c r="U25">
        <f>410/101</f>
        <v>4.0594059405940595</v>
      </c>
      <c r="W25">
        <v>7.5</v>
      </c>
    </row>
    <row r="26" spans="1:23" x14ac:dyDescent="0.2">
      <c r="A26" s="7">
        <v>38540</v>
      </c>
      <c r="B26" s="30">
        <v>2005</v>
      </c>
      <c r="C26">
        <v>3</v>
      </c>
      <c r="D26">
        <v>15</v>
      </c>
      <c r="E26" t="s">
        <v>49</v>
      </c>
      <c r="F26" t="s">
        <v>14</v>
      </c>
      <c r="G26" t="s">
        <v>21</v>
      </c>
      <c r="H26">
        <v>25</v>
      </c>
      <c r="I26">
        <v>0</v>
      </c>
      <c r="J26">
        <v>7</v>
      </c>
      <c r="K26">
        <v>0</v>
      </c>
      <c r="L26">
        <v>0</v>
      </c>
      <c r="M26">
        <v>0</v>
      </c>
      <c r="N26">
        <v>0</v>
      </c>
      <c r="O26">
        <v>0</v>
      </c>
      <c r="P26">
        <v>4</v>
      </c>
      <c r="Q26">
        <v>0</v>
      </c>
      <c r="R26">
        <v>0</v>
      </c>
      <c r="S26">
        <f t="shared" si="0"/>
        <v>36</v>
      </c>
      <c r="T26">
        <v>3</v>
      </c>
      <c r="U26">
        <f>85/25</f>
        <v>3.4</v>
      </c>
      <c r="W26">
        <v>5</v>
      </c>
    </row>
    <row r="27" spans="1:23" x14ac:dyDescent="0.2">
      <c r="A27" s="7">
        <v>38629</v>
      </c>
      <c r="B27" s="30">
        <v>2005</v>
      </c>
      <c r="C27">
        <v>1</v>
      </c>
      <c r="D27">
        <v>16</v>
      </c>
      <c r="E27" t="s">
        <v>34</v>
      </c>
      <c r="F27" t="s">
        <v>17</v>
      </c>
      <c r="G27" t="s">
        <v>21</v>
      </c>
      <c r="H27">
        <v>300</v>
      </c>
      <c r="I27">
        <v>0</v>
      </c>
      <c r="J27">
        <v>0</v>
      </c>
      <c r="K27">
        <v>0</v>
      </c>
      <c r="L27">
        <v>3</v>
      </c>
      <c r="M27">
        <v>0</v>
      </c>
      <c r="N27">
        <v>0</v>
      </c>
      <c r="O27">
        <v>0</v>
      </c>
      <c r="P27">
        <v>3</v>
      </c>
      <c r="Q27">
        <v>0</v>
      </c>
      <c r="R27">
        <v>0</v>
      </c>
      <c r="S27">
        <f t="shared" si="0"/>
        <v>306</v>
      </c>
      <c r="T27">
        <v>3</v>
      </c>
      <c r="U27" s="8">
        <v>1.55</v>
      </c>
      <c r="V27">
        <v>21.66</v>
      </c>
      <c r="W27">
        <v>8.33</v>
      </c>
    </row>
    <row r="28" spans="1:23" x14ac:dyDescent="0.2">
      <c r="A28" s="7">
        <v>38629</v>
      </c>
      <c r="B28" s="30">
        <v>2005</v>
      </c>
      <c r="C28">
        <v>2</v>
      </c>
      <c r="D28">
        <v>16</v>
      </c>
      <c r="E28" t="s">
        <v>34</v>
      </c>
      <c r="F28" t="s">
        <v>17</v>
      </c>
      <c r="G28" t="s">
        <v>21</v>
      </c>
      <c r="H28">
        <v>153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f t="shared" si="0"/>
        <v>154</v>
      </c>
      <c r="T28">
        <v>2</v>
      </c>
      <c r="U28" s="8">
        <v>2.4500000000000002</v>
      </c>
      <c r="W28">
        <v>5</v>
      </c>
    </row>
    <row r="29" spans="1:23" x14ac:dyDescent="0.2">
      <c r="A29" s="7">
        <v>38629</v>
      </c>
      <c r="B29" s="30">
        <v>2005</v>
      </c>
      <c r="C29">
        <v>3</v>
      </c>
      <c r="D29">
        <v>16</v>
      </c>
      <c r="E29" t="s">
        <v>34</v>
      </c>
      <c r="F29" t="s">
        <v>14</v>
      </c>
      <c r="G29" t="s">
        <v>21</v>
      </c>
      <c r="H29">
        <v>123</v>
      </c>
      <c r="I29">
        <v>0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f t="shared" si="0"/>
        <v>124</v>
      </c>
      <c r="T29">
        <v>2</v>
      </c>
      <c r="U29" s="8">
        <v>4.0599999999999996</v>
      </c>
      <c r="V29">
        <v>5</v>
      </c>
      <c r="W29">
        <v>5</v>
      </c>
    </row>
    <row r="30" spans="1:23" x14ac:dyDescent="0.2">
      <c r="A30" s="7">
        <v>38629</v>
      </c>
      <c r="B30" s="30">
        <v>2005</v>
      </c>
      <c r="C30">
        <v>4</v>
      </c>
      <c r="D30">
        <v>16</v>
      </c>
      <c r="E30" t="s">
        <v>34</v>
      </c>
      <c r="F30" t="s">
        <v>14</v>
      </c>
      <c r="G30" t="s">
        <v>21</v>
      </c>
      <c r="H30">
        <v>161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2</v>
      </c>
      <c r="Q30">
        <v>0</v>
      </c>
      <c r="R30">
        <v>0</v>
      </c>
      <c r="S30">
        <f t="shared" si="0"/>
        <v>163</v>
      </c>
      <c r="T30">
        <v>2</v>
      </c>
      <c r="U30" s="8">
        <v>2.82</v>
      </c>
      <c r="W30">
        <v>5</v>
      </c>
    </row>
    <row r="31" spans="1:23" x14ac:dyDescent="0.2">
      <c r="A31" s="7">
        <v>38840</v>
      </c>
      <c r="B31" s="30">
        <v>2006</v>
      </c>
      <c r="C31">
        <v>1</v>
      </c>
      <c r="D31">
        <v>15</v>
      </c>
      <c r="E31" t="s">
        <v>33</v>
      </c>
      <c r="F31" t="s">
        <v>17</v>
      </c>
      <c r="G31" t="s">
        <v>21</v>
      </c>
      <c r="H31">
        <v>68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f t="shared" si="0"/>
        <v>68</v>
      </c>
      <c r="T31">
        <v>1</v>
      </c>
      <c r="U31" s="8">
        <v>2.94</v>
      </c>
    </row>
    <row r="32" spans="1:23" x14ac:dyDescent="0.2">
      <c r="A32" s="7">
        <v>38840</v>
      </c>
      <c r="B32" s="30">
        <v>2006</v>
      </c>
      <c r="C32">
        <v>2</v>
      </c>
      <c r="D32">
        <v>15</v>
      </c>
      <c r="E32" t="s">
        <v>33</v>
      </c>
      <c r="F32" t="s">
        <v>17</v>
      </c>
      <c r="G32" t="s">
        <v>21</v>
      </c>
      <c r="H32">
        <v>4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f t="shared" si="0"/>
        <v>5</v>
      </c>
      <c r="T32">
        <v>2</v>
      </c>
      <c r="U32" s="8">
        <v>2.5</v>
      </c>
      <c r="V32">
        <v>10</v>
      </c>
    </row>
    <row r="33" spans="1:25" x14ac:dyDescent="0.2">
      <c r="A33" s="7">
        <v>38840</v>
      </c>
      <c r="B33" s="30">
        <v>2006</v>
      </c>
      <c r="C33">
        <v>3</v>
      </c>
      <c r="D33">
        <v>13</v>
      </c>
      <c r="E33" t="s">
        <v>33</v>
      </c>
      <c r="F33" t="s">
        <v>14</v>
      </c>
      <c r="G33" t="s">
        <v>21</v>
      </c>
      <c r="H33">
        <v>373</v>
      </c>
      <c r="I33">
        <v>1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f t="shared" si="0"/>
        <v>375</v>
      </c>
      <c r="T33">
        <v>3</v>
      </c>
      <c r="U33" s="8">
        <v>2.27</v>
      </c>
    </row>
    <row r="34" spans="1:25" x14ac:dyDescent="0.2">
      <c r="A34" s="7">
        <v>38840</v>
      </c>
      <c r="B34" s="30">
        <v>2006</v>
      </c>
      <c r="C34">
        <v>4</v>
      </c>
      <c r="D34">
        <v>6</v>
      </c>
      <c r="E34" t="s">
        <v>33</v>
      </c>
      <c r="F34" t="s">
        <v>14</v>
      </c>
      <c r="G34" t="s">
        <v>21</v>
      </c>
      <c r="H34">
        <v>30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f t="shared" si="0"/>
        <v>30</v>
      </c>
      <c r="T34">
        <v>1</v>
      </c>
      <c r="U34" s="8">
        <v>2.16</v>
      </c>
    </row>
    <row r="35" spans="1:25" x14ac:dyDescent="0.2">
      <c r="A35" s="7">
        <v>39028</v>
      </c>
      <c r="B35" s="30">
        <v>2006</v>
      </c>
      <c r="C35">
        <v>1</v>
      </c>
      <c r="D35">
        <v>17</v>
      </c>
      <c r="E35" t="s">
        <v>34</v>
      </c>
      <c r="F35" t="s">
        <v>17</v>
      </c>
      <c r="G35" t="s">
        <v>21</v>
      </c>
      <c r="H35">
        <v>92</v>
      </c>
      <c r="I35">
        <v>0</v>
      </c>
      <c r="J35">
        <v>1</v>
      </c>
      <c r="K35">
        <v>0</v>
      </c>
      <c r="L35">
        <v>1</v>
      </c>
      <c r="M35">
        <v>0</v>
      </c>
      <c r="N35">
        <v>0</v>
      </c>
      <c r="O35">
        <v>0</v>
      </c>
      <c r="P35">
        <v>2</v>
      </c>
      <c r="Q35">
        <v>0</v>
      </c>
      <c r="R35">
        <v>0</v>
      </c>
      <c r="S35">
        <f t="shared" si="0"/>
        <v>96</v>
      </c>
      <c r="T35">
        <v>4</v>
      </c>
      <c r="U35" s="8">
        <f>350/92</f>
        <v>3.8043478260869565</v>
      </c>
      <c r="V35">
        <v>5</v>
      </c>
      <c r="W35">
        <v>10</v>
      </c>
    </row>
    <row r="36" spans="1:25" x14ac:dyDescent="0.2">
      <c r="A36" s="7">
        <v>39028</v>
      </c>
      <c r="B36" s="30">
        <v>2006</v>
      </c>
      <c r="C36">
        <v>2</v>
      </c>
      <c r="D36">
        <v>19.5</v>
      </c>
      <c r="E36" t="s">
        <v>34</v>
      </c>
      <c r="F36" t="s">
        <v>17</v>
      </c>
      <c r="G36" t="s">
        <v>21</v>
      </c>
      <c r="H36">
        <v>102</v>
      </c>
      <c r="I36">
        <v>0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2</v>
      </c>
      <c r="Q36">
        <v>0</v>
      </c>
      <c r="R36">
        <v>0</v>
      </c>
      <c r="S36">
        <f t="shared" si="0"/>
        <v>105</v>
      </c>
      <c r="T36">
        <v>3</v>
      </c>
      <c r="U36" s="8">
        <f>220/102</f>
        <v>2.1568627450980391</v>
      </c>
      <c r="W36">
        <v>2.5</v>
      </c>
    </row>
    <row r="37" spans="1:25" x14ac:dyDescent="0.2">
      <c r="A37" s="7">
        <v>39028</v>
      </c>
      <c r="B37" s="30">
        <v>2006</v>
      </c>
      <c r="C37">
        <v>3</v>
      </c>
      <c r="D37">
        <v>19.5</v>
      </c>
      <c r="E37" t="s">
        <v>34</v>
      </c>
      <c r="F37" t="s">
        <v>14</v>
      </c>
      <c r="G37" t="s">
        <v>21</v>
      </c>
      <c r="H37">
        <v>68</v>
      </c>
      <c r="I37">
        <v>0</v>
      </c>
      <c r="J37">
        <v>5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f t="shared" si="0"/>
        <v>73</v>
      </c>
      <c r="T37">
        <v>2</v>
      </c>
      <c r="U37" s="8">
        <f>290/68</f>
        <v>4.2647058823529411</v>
      </c>
    </row>
    <row r="38" spans="1:25" x14ac:dyDescent="0.2">
      <c r="A38" s="7">
        <v>39028</v>
      </c>
      <c r="B38" s="30">
        <v>2006</v>
      </c>
      <c r="C38">
        <v>4</v>
      </c>
      <c r="D38">
        <v>19.5</v>
      </c>
      <c r="E38" t="s">
        <v>34</v>
      </c>
      <c r="F38" t="s">
        <v>14</v>
      </c>
      <c r="G38" t="s">
        <v>21</v>
      </c>
      <c r="H38">
        <v>355</v>
      </c>
      <c r="I38">
        <v>0</v>
      </c>
      <c r="J38"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f t="shared" si="0"/>
        <v>356</v>
      </c>
      <c r="T38">
        <v>2</v>
      </c>
      <c r="U38" s="8">
        <f>450/355</f>
        <v>1.267605633802817</v>
      </c>
    </row>
    <row r="39" spans="1:25" x14ac:dyDescent="0.2">
      <c r="A39" s="7">
        <v>39386</v>
      </c>
      <c r="B39" s="30">
        <v>2007</v>
      </c>
      <c r="C39">
        <v>1</v>
      </c>
      <c r="D39">
        <v>20.5</v>
      </c>
      <c r="E39" t="s">
        <v>34</v>
      </c>
      <c r="F39" t="s">
        <v>17</v>
      </c>
      <c r="G39" t="s">
        <v>21</v>
      </c>
      <c r="H39">
        <v>325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1</v>
      </c>
      <c r="Q39">
        <v>0</v>
      </c>
      <c r="R39">
        <v>0</v>
      </c>
      <c r="S39">
        <v>133</v>
      </c>
      <c r="T39">
        <v>2</v>
      </c>
      <c r="U39" s="8">
        <v>2.4</v>
      </c>
      <c r="W39">
        <v>5</v>
      </c>
    </row>
    <row r="40" spans="1:25" x14ac:dyDescent="0.2">
      <c r="A40" s="7">
        <v>39386</v>
      </c>
      <c r="B40" s="30">
        <v>2007</v>
      </c>
      <c r="C40">
        <v>2</v>
      </c>
      <c r="D40">
        <v>20.5</v>
      </c>
      <c r="E40" t="s">
        <v>34</v>
      </c>
      <c r="F40" t="s">
        <v>17</v>
      </c>
      <c r="G40" t="s">
        <v>21</v>
      </c>
      <c r="H40">
        <v>300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1</v>
      </c>
      <c r="Q40">
        <v>0</v>
      </c>
      <c r="R40">
        <v>0</v>
      </c>
      <c r="S40">
        <v>153</v>
      </c>
      <c r="T40">
        <v>2</v>
      </c>
      <c r="U40" s="8">
        <v>1.96</v>
      </c>
      <c r="W40">
        <v>1</v>
      </c>
    </row>
    <row r="41" spans="1:25" x14ac:dyDescent="0.2">
      <c r="A41" s="7">
        <v>39386</v>
      </c>
      <c r="B41" s="30">
        <v>2007</v>
      </c>
      <c r="C41">
        <v>3</v>
      </c>
      <c r="D41">
        <v>20.5</v>
      </c>
      <c r="E41" t="s">
        <v>34</v>
      </c>
      <c r="F41" t="s">
        <v>14</v>
      </c>
      <c r="G41" t="s">
        <v>21</v>
      </c>
      <c r="H41">
        <v>680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2</v>
      </c>
      <c r="Q41">
        <v>0</v>
      </c>
      <c r="R41">
        <v>0</v>
      </c>
      <c r="S41">
        <v>184</v>
      </c>
      <c r="T41">
        <v>2</v>
      </c>
      <c r="U41" s="8">
        <v>3.69</v>
      </c>
      <c r="W41">
        <v>12.5</v>
      </c>
    </row>
    <row r="42" spans="1:25" x14ac:dyDescent="0.2">
      <c r="A42" s="7">
        <v>39386</v>
      </c>
      <c r="B42" s="30">
        <v>2007</v>
      </c>
      <c r="C42">
        <v>4</v>
      </c>
      <c r="D42">
        <v>20.5</v>
      </c>
      <c r="E42" t="s">
        <v>34</v>
      </c>
      <c r="F42" t="s">
        <v>14</v>
      </c>
      <c r="G42" t="s">
        <v>21</v>
      </c>
      <c r="H42">
        <v>656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236</v>
      </c>
      <c r="T42">
        <v>1</v>
      </c>
      <c r="U42" s="8">
        <v>2.77</v>
      </c>
      <c r="W42">
        <v>2.77</v>
      </c>
    </row>
    <row r="43" spans="1:25" x14ac:dyDescent="0.2">
      <c r="A43" s="7">
        <v>39752</v>
      </c>
      <c r="B43" s="30">
        <v>2008</v>
      </c>
      <c r="C43">
        <v>1</v>
      </c>
      <c r="D43">
        <v>20.5</v>
      </c>
      <c r="E43" t="s">
        <v>34</v>
      </c>
      <c r="F43" t="s">
        <v>17</v>
      </c>
      <c r="G43" t="s">
        <v>21</v>
      </c>
      <c r="H43">
        <v>133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f t="shared" si="0"/>
        <v>134</v>
      </c>
      <c r="T43">
        <v>2</v>
      </c>
      <c r="U43" s="8">
        <f>325/133</f>
        <v>2.4436090225563909</v>
      </c>
      <c r="W43">
        <v>5</v>
      </c>
    </row>
    <row r="44" spans="1:25" x14ac:dyDescent="0.2">
      <c r="A44" s="7">
        <v>39752</v>
      </c>
      <c r="B44" s="30">
        <v>2008</v>
      </c>
      <c r="C44">
        <v>2</v>
      </c>
      <c r="D44">
        <v>20.5</v>
      </c>
      <c r="E44" t="s">
        <v>34</v>
      </c>
      <c r="F44" t="s">
        <v>17</v>
      </c>
      <c r="G44" t="s">
        <v>21</v>
      </c>
      <c r="H44">
        <v>153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f t="shared" si="0"/>
        <v>154</v>
      </c>
      <c r="T44">
        <v>2</v>
      </c>
      <c r="U44" s="8">
        <f>300/153</f>
        <v>1.9607843137254901</v>
      </c>
      <c r="W44">
        <v>1</v>
      </c>
    </row>
    <row r="45" spans="1:25" x14ac:dyDescent="0.2">
      <c r="A45" s="7">
        <v>39752</v>
      </c>
      <c r="B45" s="30">
        <v>2008</v>
      </c>
      <c r="C45">
        <v>3</v>
      </c>
      <c r="D45">
        <v>20.5</v>
      </c>
      <c r="E45" t="s">
        <v>34</v>
      </c>
      <c r="F45" t="s">
        <v>14</v>
      </c>
      <c r="G45" t="s">
        <v>21</v>
      </c>
      <c r="H45">
        <v>184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2</v>
      </c>
      <c r="Q45">
        <v>0</v>
      </c>
      <c r="R45">
        <v>0</v>
      </c>
      <c r="S45">
        <f t="shared" si="0"/>
        <v>186</v>
      </c>
      <c r="T45">
        <v>2</v>
      </c>
      <c r="U45" s="8">
        <f>680/184</f>
        <v>3.6956521739130435</v>
      </c>
      <c r="W45">
        <v>12.5</v>
      </c>
    </row>
    <row r="46" spans="1:25" x14ac:dyDescent="0.2">
      <c r="A46" s="7">
        <v>39752</v>
      </c>
      <c r="B46" s="30">
        <v>2008</v>
      </c>
      <c r="C46">
        <v>4</v>
      </c>
      <c r="D46">
        <v>20.5</v>
      </c>
      <c r="E46" t="s">
        <v>34</v>
      </c>
      <c r="F46" t="s">
        <v>14</v>
      </c>
      <c r="G46" t="s">
        <v>21</v>
      </c>
      <c r="H46">
        <v>236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f t="shared" si="0"/>
        <v>236</v>
      </c>
      <c r="T46">
        <v>1</v>
      </c>
      <c r="U46" s="8">
        <f>656/236</f>
        <v>2.7796610169491527</v>
      </c>
    </row>
    <row r="47" spans="1:25" x14ac:dyDescent="0.2">
      <c r="A47" s="7">
        <v>39744</v>
      </c>
      <c r="B47" s="30">
        <v>2008</v>
      </c>
      <c r="C47">
        <v>1</v>
      </c>
      <c r="D47">
        <v>23.5</v>
      </c>
      <c r="E47" t="s">
        <v>34</v>
      </c>
      <c r="F47" t="s">
        <v>17</v>
      </c>
      <c r="G47" t="s">
        <v>21</v>
      </c>
      <c r="H47">
        <v>72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12</v>
      </c>
      <c r="Q47">
        <v>0</v>
      </c>
      <c r="R47">
        <v>0</v>
      </c>
      <c r="S47">
        <f t="shared" si="0"/>
        <v>84</v>
      </c>
      <c r="T47">
        <v>2</v>
      </c>
      <c r="U47">
        <f>200/72</f>
        <v>2.7777777777777777</v>
      </c>
    </row>
    <row r="48" spans="1:25" x14ac:dyDescent="0.2">
      <c r="A48" s="7">
        <v>39744</v>
      </c>
      <c r="B48" s="30">
        <v>2008</v>
      </c>
      <c r="C48">
        <v>2</v>
      </c>
      <c r="D48">
        <v>24</v>
      </c>
      <c r="E48" t="s">
        <v>34</v>
      </c>
      <c r="F48" t="s">
        <v>17</v>
      </c>
      <c r="G48" t="s">
        <v>21</v>
      </c>
      <c r="H48">
        <v>12</v>
      </c>
      <c r="I48">
        <v>0</v>
      </c>
      <c r="J48">
        <v>0</v>
      </c>
      <c r="K48">
        <v>0</v>
      </c>
      <c r="L48">
        <v>0</v>
      </c>
      <c r="M48">
        <v>0</v>
      </c>
      <c r="N48">
        <v>1</v>
      </c>
      <c r="O48">
        <v>0</v>
      </c>
      <c r="P48">
        <v>5</v>
      </c>
      <c r="Q48">
        <v>0</v>
      </c>
      <c r="R48">
        <v>0</v>
      </c>
      <c r="S48">
        <f t="shared" si="0"/>
        <v>18</v>
      </c>
      <c r="T48">
        <v>3</v>
      </c>
      <c r="U48">
        <f>37/12</f>
        <v>3.0833333333333335</v>
      </c>
      <c r="Y48" t="s">
        <v>50</v>
      </c>
    </row>
    <row r="49" spans="1:25" x14ac:dyDescent="0.2">
      <c r="A49" s="7">
        <v>39744</v>
      </c>
      <c r="B49" s="30">
        <v>2008</v>
      </c>
      <c r="C49">
        <v>3</v>
      </c>
      <c r="D49">
        <v>23.5</v>
      </c>
      <c r="E49" t="s">
        <v>34</v>
      </c>
      <c r="F49" t="s">
        <v>14</v>
      </c>
      <c r="G49" t="s">
        <v>21</v>
      </c>
      <c r="H49">
        <v>70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67</v>
      </c>
      <c r="Q49">
        <v>0</v>
      </c>
      <c r="R49">
        <v>0</v>
      </c>
      <c r="S49">
        <f t="shared" si="0"/>
        <v>137</v>
      </c>
      <c r="T49">
        <v>2</v>
      </c>
      <c r="U49">
        <f>250/70</f>
        <v>3.5714285714285716</v>
      </c>
    </row>
    <row r="50" spans="1:25" x14ac:dyDescent="0.2">
      <c r="A50" s="7">
        <v>39744</v>
      </c>
      <c r="B50" s="30">
        <v>2008</v>
      </c>
      <c r="C50">
        <v>4</v>
      </c>
      <c r="D50">
        <v>23.5</v>
      </c>
      <c r="E50" t="s">
        <v>34</v>
      </c>
      <c r="F50" t="s">
        <v>14</v>
      </c>
      <c r="G50" t="s">
        <v>21</v>
      </c>
      <c r="H50">
        <v>201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11</v>
      </c>
      <c r="Q50">
        <v>0</v>
      </c>
      <c r="R50">
        <v>0</v>
      </c>
      <c r="S50">
        <f t="shared" si="0"/>
        <v>212</v>
      </c>
      <c r="T50">
        <v>2</v>
      </c>
      <c r="U50">
        <f>460/201</f>
        <v>2.2885572139303481</v>
      </c>
    </row>
    <row r="51" spans="1:25" x14ac:dyDescent="0.2">
      <c r="A51" s="7">
        <v>40121</v>
      </c>
      <c r="B51" s="30">
        <v>2009</v>
      </c>
      <c r="C51">
        <v>1</v>
      </c>
      <c r="D51">
        <v>24</v>
      </c>
      <c r="E51" t="s">
        <v>34</v>
      </c>
      <c r="F51" t="s">
        <v>17</v>
      </c>
      <c r="G51" t="s">
        <v>21</v>
      </c>
      <c r="H51">
        <v>31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59</v>
      </c>
      <c r="Q51">
        <v>1</v>
      </c>
      <c r="R51">
        <v>0</v>
      </c>
      <c r="S51">
        <f t="shared" ref="S51:S65" si="1">SUM(H51:R51)</f>
        <v>91</v>
      </c>
      <c r="T51">
        <v>3</v>
      </c>
      <c r="U51">
        <f>155/31</f>
        <v>5</v>
      </c>
      <c r="W51">
        <f>265/59</f>
        <v>4.4915254237288131</v>
      </c>
      <c r="Y51" s="25" t="s">
        <v>54</v>
      </c>
    </row>
    <row r="52" spans="1:25" x14ac:dyDescent="0.2">
      <c r="A52" s="7">
        <v>40121</v>
      </c>
      <c r="B52" s="30">
        <v>2009</v>
      </c>
      <c r="C52">
        <v>2</v>
      </c>
      <c r="D52">
        <v>24</v>
      </c>
      <c r="E52" t="s">
        <v>34</v>
      </c>
      <c r="F52" t="s">
        <v>17</v>
      </c>
      <c r="G52" t="s">
        <v>21</v>
      </c>
      <c r="H52">
        <v>13</v>
      </c>
      <c r="I52">
        <v>0</v>
      </c>
      <c r="J52">
        <v>0</v>
      </c>
      <c r="K52">
        <v>0</v>
      </c>
      <c r="L52">
        <v>0</v>
      </c>
      <c r="M52">
        <v>0</v>
      </c>
      <c r="N52">
        <v>6</v>
      </c>
      <c r="O52">
        <v>0</v>
      </c>
      <c r="P52">
        <v>9</v>
      </c>
      <c r="Q52">
        <v>0</v>
      </c>
      <c r="R52">
        <v>0</v>
      </c>
      <c r="S52">
        <f t="shared" si="1"/>
        <v>28</v>
      </c>
      <c r="T52">
        <v>3</v>
      </c>
      <c r="U52">
        <f>85/13</f>
        <v>6.5384615384615383</v>
      </c>
      <c r="W52">
        <f>40/9</f>
        <v>4.4444444444444446</v>
      </c>
    </row>
    <row r="53" spans="1:25" x14ac:dyDescent="0.2">
      <c r="A53" s="7">
        <v>40121</v>
      </c>
      <c r="B53" s="30">
        <v>2009</v>
      </c>
      <c r="C53">
        <v>3</v>
      </c>
      <c r="D53">
        <v>24</v>
      </c>
      <c r="E53" t="s">
        <v>34</v>
      </c>
      <c r="F53" t="s">
        <v>14</v>
      </c>
      <c r="G53" t="s">
        <v>21</v>
      </c>
      <c r="H53">
        <v>8</v>
      </c>
      <c r="I53">
        <v>0</v>
      </c>
      <c r="J53">
        <v>1</v>
      </c>
      <c r="K53">
        <v>0</v>
      </c>
      <c r="L53">
        <v>0</v>
      </c>
      <c r="M53">
        <v>0</v>
      </c>
      <c r="N53">
        <v>9</v>
      </c>
      <c r="O53">
        <v>0</v>
      </c>
      <c r="P53">
        <v>2</v>
      </c>
      <c r="Q53">
        <v>0</v>
      </c>
      <c r="R53">
        <v>0</v>
      </c>
      <c r="S53">
        <f t="shared" si="1"/>
        <v>20</v>
      </c>
      <c r="T53">
        <v>4</v>
      </c>
      <c r="U53">
        <v>5</v>
      </c>
      <c r="W53">
        <v>2.5</v>
      </c>
    </row>
    <row r="54" spans="1:25" x14ac:dyDescent="0.2">
      <c r="A54" s="7">
        <v>40469</v>
      </c>
      <c r="B54" s="30">
        <v>2010</v>
      </c>
      <c r="C54">
        <v>1</v>
      </c>
      <c r="D54">
        <v>26</v>
      </c>
      <c r="E54" t="s">
        <v>34</v>
      </c>
      <c r="F54" t="s">
        <v>17</v>
      </c>
      <c r="G54" t="s">
        <v>21</v>
      </c>
      <c r="H54">
        <v>93</v>
      </c>
      <c r="I54">
        <v>0</v>
      </c>
      <c r="J54">
        <v>0</v>
      </c>
      <c r="K54">
        <v>0</v>
      </c>
      <c r="L54">
        <v>0</v>
      </c>
      <c r="M54">
        <v>0</v>
      </c>
      <c r="N54">
        <v>4</v>
      </c>
      <c r="O54">
        <v>0</v>
      </c>
      <c r="Q54">
        <v>0</v>
      </c>
      <c r="R54">
        <v>0</v>
      </c>
      <c r="S54">
        <f t="shared" si="1"/>
        <v>97</v>
      </c>
      <c r="T54">
        <v>2</v>
      </c>
      <c r="U54">
        <v>2.6</v>
      </c>
    </row>
    <row r="55" spans="1:25" x14ac:dyDescent="0.2">
      <c r="A55" s="7">
        <v>40469</v>
      </c>
      <c r="B55" s="30">
        <v>2010</v>
      </c>
      <c r="C55">
        <v>2</v>
      </c>
      <c r="D55">
        <v>26</v>
      </c>
      <c r="E55" t="s">
        <v>34</v>
      </c>
      <c r="F55" t="s">
        <v>17</v>
      </c>
      <c r="G55" t="s">
        <v>21</v>
      </c>
      <c r="H55">
        <v>7</v>
      </c>
      <c r="I55">
        <v>0</v>
      </c>
      <c r="J55">
        <v>0</v>
      </c>
      <c r="K55">
        <v>0</v>
      </c>
      <c r="L55">
        <v>0</v>
      </c>
      <c r="M55">
        <v>0</v>
      </c>
      <c r="N55">
        <v>2</v>
      </c>
      <c r="O55">
        <v>0</v>
      </c>
      <c r="P55">
        <v>2</v>
      </c>
      <c r="Q55">
        <v>0</v>
      </c>
      <c r="R55">
        <v>0</v>
      </c>
      <c r="S55">
        <f t="shared" si="1"/>
        <v>11</v>
      </c>
      <c r="T55">
        <v>3</v>
      </c>
      <c r="U55">
        <v>3.4</v>
      </c>
      <c r="W55">
        <v>1</v>
      </c>
    </row>
    <row r="56" spans="1:25" x14ac:dyDescent="0.2">
      <c r="A56" s="7">
        <v>40469</v>
      </c>
      <c r="B56" s="30">
        <v>2010</v>
      </c>
      <c r="C56">
        <v>3</v>
      </c>
      <c r="D56">
        <v>26</v>
      </c>
      <c r="E56" t="s">
        <v>34</v>
      </c>
      <c r="F56" t="s">
        <v>14</v>
      </c>
      <c r="G56" t="s">
        <v>21</v>
      </c>
      <c r="H56">
        <v>140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f t="shared" si="1"/>
        <v>141</v>
      </c>
      <c r="T56">
        <v>2</v>
      </c>
      <c r="U56">
        <v>4</v>
      </c>
      <c r="W56">
        <v>5</v>
      </c>
    </row>
    <row r="57" spans="1:25" x14ac:dyDescent="0.2">
      <c r="A57" s="7">
        <v>40469</v>
      </c>
      <c r="B57" s="30">
        <v>2010</v>
      </c>
      <c r="C57">
        <v>4</v>
      </c>
      <c r="D57">
        <v>26</v>
      </c>
      <c r="E57" t="s">
        <v>34</v>
      </c>
      <c r="F57" t="s">
        <v>14</v>
      </c>
      <c r="G57" t="s">
        <v>21</v>
      </c>
      <c r="H57">
        <v>269</v>
      </c>
      <c r="I57">
        <v>0</v>
      </c>
      <c r="J57">
        <v>0</v>
      </c>
      <c r="K57">
        <v>0</v>
      </c>
      <c r="L57">
        <v>0</v>
      </c>
      <c r="M57">
        <v>0</v>
      </c>
      <c r="N57">
        <v>1</v>
      </c>
      <c r="O57">
        <v>0</v>
      </c>
      <c r="P57">
        <v>1</v>
      </c>
      <c r="Q57">
        <v>1</v>
      </c>
      <c r="R57">
        <v>0</v>
      </c>
      <c r="S57">
        <f t="shared" si="1"/>
        <v>272</v>
      </c>
      <c r="T57">
        <v>4</v>
      </c>
      <c r="U57">
        <v>2.16</v>
      </c>
      <c r="W57">
        <v>5</v>
      </c>
    </row>
    <row r="58" spans="1:25" x14ac:dyDescent="0.2">
      <c r="A58" s="7">
        <v>40862</v>
      </c>
      <c r="B58" s="30">
        <v>2011</v>
      </c>
      <c r="C58">
        <v>1</v>
      </c>
      <c r="D58">
        <v>27.5</v>
      </c>
      <c r="E58" t="s">
        <v>34</v>
      </c>
      <c r="F58" t="s">
        <v>17</v>
      </c>
      <c r="G58" t="s">
        <v>21</v>
      </c>
      <c r="H58">
        <v>52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5</v>
      </c>
      <c r="Q58">
        <v>0</v>
      </c>
      <c r="R58">
        <v>0</v>
      </c>
      <c r="S58">
        <f t="shared" si="1"/>
        <v>58</v>
      </c>
      <c r="T58">
        <v>3</v>
      </c>
      <c r="U58">
        <f>160/52</f>
        <v>3.0769230769230771</v>
      </c>
      <c r="W58">
        <v>5</v>
      </c>
    </row>
    <row r="59" spans="1:25" x14ac:dyDescent="0.2">
      <c r="A59" s="7">
        <v>40862</v>
      </c>
      <c r="B59" s="30">
        <v>2011</v>
      </c>
      <c r="C59">
        <v>2</v>
      </c>
      <c r="D59">
        <v>27.5</v>
      </c>
      <c r="E59" t="s">
        <v>34</v>
      </c>
      <c r="F59" t="s">
        <v>17</v>
      </c>
      <c r="G59" t="s">
        <v>21</v>
      </c>
      <c r="H59">
        <v>40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Q59">
        <v>0</v>
      </c>
      <c r="R59">
        <v>0</v>
      </c>
      <c r="S59">
        <f t="shared" si="1"/>
        <v>40</v>
      </c>
      <c r="T59">
        <v>1</v>
      </c>
      <c r="U59">
        <f>40/18</f>
        <v>2.2222222222222223</v>
      </c>
    </row>
    <row r="60" spans="1:25" x14ac:dyDescent="0.2">
      <c r="A60" s="7">
        <v>40862</v>
      </c>
      <c r="B60" s="30">
        <v>2011</v>
      </c>
      <c r="C60">
        <v>3</v>
      </c>
      <c r="D60">
        <v>27.5</v>
      </c>
      <c r="E60" t="s">
        <v>34</v>
      </c>
      <c r="F60" t="s">
        <v>14</v>
      </c>
      <c r="G60" t="s">
        <v>21</v>
      </c>
      <c r="H60">
        <v>207</v>
      </c>
      <c r="I60">
        <v>0</v>
      </c>
      <c r="J60">
        <v>0</v>
      </c>
      <c r="K60">
        <v>0</v>
      </c>
      <c r="L60">
        <v>2</v>
      </c>
      <c r="M60">
        <v>0</v>
      </c>
      <c r="N60">
        <v>0</v>
      </c>
      <c r="O60">
        <v>0</v>
      </c>
      <c r="P60">
        <v>7</v>
      </c>
      <c r="Q60">
        <v>0</v>
      </c>
      <c r="R60">
        <v>0</v>
      </c>
      <c r="S60">
        <f t="shared" si="1"/>
        <v>216</v>
      </c>
      <c r="T60">
        <v>3</v>
      </c>
      <c r="U60">
        <f>880/207</f>
        <v>4.2512077294685993</v>
      </c>
      <c r="V60">
        <v>7.5</v>
      </c>
      <c r="W60">
        <f>25/7</f>
        <v>3.5714285714285716</v>
      </c>
    </row>
    <row r="61" spans="1:25" x14ac:dyDescent="0.2">
      <c r="A61" s="7">
        <v>40862</v>
      </c>
      <c r="B61" s="30">
        <v>2011</v>
      </c>
      <c r="C61">
        <v>4</v>
      </c>
      <c r="D61">
        <v>27.5</v>
      </c>
      <c r="E61" t="s">
        <v>34</v>
      </c>
      <c r="F61" t="s">
        <v>14</v>
      </c>
      <c r="G61" t="s">
        <v>21</v>
      </c>
      <c r="H61">
        <v>260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5</v>
      </c>
      <c r="Q61">
        <v>0</v>
      </c>
      <c r="R61">
        <v>0</v>
      </c>
      <c r="S61">
        <f t="shared" si="1"/>
        <v>265</v>
      </c>
      <c r="T61">
        <v>2</v>
      </c>
      <c r="U61">
        <f>790/260</f>
        <v>3.0384615384615383</v>
      </c>
      <c r="W61">
        <f>18/5</f>
        <v>3.6</v>
      </c>
    </row>
    <row r="62" spans="1:25" x14ac:dyDescent="0.2">
      <c r="A62" s="7">
        <v>41183</v>
      </c>
      <c r="B62" s="30">
        <v>2012</v>
      </c>
      <c r="C62">
        <v>1</v>
      </c>
      <c r="D62">
        <v>20.5</v>
      </c>
      <c r="E62" t="s">
        <v>34</v>
      </c>
      <c r="F62" t="s">
        <v>17</v>
      </c>
      <c r="G62" t="s">
        <v>21</v>
      </c>
      <c r="H62">
        <v>253</v>
      </c>
      <c r="I62">
        <v>0</v>
      </c>
      <c r="J62">
        <v>0</v>
      </c>
      <c r="K62">
        <v>0</v>
      </c>
      <c r="L62">
        <v>0</v>
      </c>
      <c r="M62">
        <v>3</v>
      </c>
      <c r="N62">
        <v>0</v>
      </c>
      <c r="O62">
        <v>0</v>
      </c>
      <c r="P62">
        <v>2</v>
      </c>
      <c r="Q62">
        <v>0</v>
      </c>
      <c r="R62">
        <v>0</v>
      </c>
      <c r="S62">
        <f t="shared" si="1"/>
        <v>258</v>
      </c>
      <c r="T62">
        <v>3</v>
      </c>
      <c r="U62">
        <f>460/253</f>
        <v>1.8181818181818181</v>
      </c>
      <c r="W62">
        <f>4/2</f>
        <v>2</v>
      </c>
    </row>
    <row r="63" spans="1:25" x14ac:dyDescent="0.2">
      <c r="A63" s="7">
        <v>41183</v>
      </c>
      <c r="B63" s="30">
        <v>2012</v>
      </c>
      <c r="C63">
        <v>2</v>
      </c>
      <c r="D63">
        <v>20.5</v>
      </c>
      <c r="E63" t="s">
        <v>34</v>
      </c>
      <c r="F63" t="s">
        <v>17</v>
      </c>
      <c r="G63" t="s">
        <v>21</v>
      </c>
      <c r="H63">
        <v>193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f t="shared" si="1"/>
        <v>194</v>
      </c>
      <c r="T63">
        <v>2</v>
      </c>
      <c r="U63">
        <f>300/193</f>
        <v>1.5544041450777202</v>
      </c>
      <c r="W63">
        <v>5</v>
      </c>
    </row>
    <row r="64" spans="1:25" x14ac:dyDescent="0.2">
      <c r="A64" s="7">
        <v>41183</v>
      </c>
      <c r="B64" s="30">
        <v>2012</v>
      </c>
      <c r="C64">
        <v>3</v>
      </c>
      <c r="D64">
        <v>20.5</v>
      </c>
      <c r="E64" t="s">
        <v>34</v>
      </c>
      <c r="F64" t="s">
        <v>14</v>
      </c>
      <c r="G64" t="s">
        <v>21</v>
      </c>
      <c r="H64">
        <v>124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2</v>
      </c>
      <c r="Q64">
        <v>0</v>
      </c>
      <c r="R64">
        <v>0</v>
      </c>
      <c r="S64">
        <f t="shared" si="1"/>
        <v>126</v>
      </c>
      <c r="T64">
        <v>2</v>
      </c>
      <c r="U64">
        <f>440/124</f>
        <v>3.5483870967741935</v>
      </c>
      <c r="W64">
        <v>5</v>
      </c>
    </row>
    <row r="65" spans="1:24" x14ac:dyDescent="0.2">
      <c r="A65" s="7">
        <v>41183</v>
      </c>
      <c r="B65" s="30">
        <v>2012</v>
      </c>
      <c r="C65">
        <v>4</v>
      </c>
      <c r="D65">
        <v>16.5</v>
      </c>
      <c r="E65" t="s">
        <v>34</v>
      </c>
      <c r="F65" t="s">
        <v>14</v>
      </c>
      <c r="G65" t="s">
        <v>21</v>
      </c>
      <c r="H65">
        <v>72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13</v>
      </c>
      <c r="Q65">
        <v>0</v>
      </c>
      <c r="R65">
        <v>0</v>
      </c>
      <c r="S65">
        <f t="shared" si="1"/>
        <v>85</v>
      </c>
      <c r="T65">
        <v>2</v>
      </c>
      <c r="U65">
        <f>348/72</f>
        <v>4.833333333333333</v>
      </c>
      <c r="W65">
        <f>100/13</f>
        <v>7.6923076923076925</v>
      </c>
    </row>
    <row r="66" spans="1:24" x14ac:dyDescent="0.2">
      <c r="A66" s="7">
        <v>41575</v>
      </c>
      <c r="B66" s="30">
        <v>2013</v>
      </c>
      <c r="C66">
        <v>1</v>
      </c>
      <c r="D66">
        <v>26</v>
      </c>
      <c r="E66" t="s">
        <v>34</v>
      </c>
      <c r="F66" t="s">
        <v>17</v>
      </c>
      <c r="G66" t="s">
        <v>21</v>
      </c>
      <c r="H66">
        <v>4</v>
      </c>
      <c r="I66">
        <v>0</v>
      </c>
      <c r="J66">
        <v>0</v>
      </c>
      <c r="K66">
        <v>0</v>
      </c>
      <c r="L66">
        <v>0</v>
      </c>
      <c r="M66">
        <v>8</v>
      </c>
      <c r="N66">
        <v>0</v>
      </c>
      <c r="O66">
        <v>0</v>
      </c>
      <c r="P66">
        <v>0</v>
      </c>
      <c r="Q66">
        <v>0</v>
      </c>
      <c r="R66">
        <v>0</v>
      </c>
      <c r="S66">
        <v>12</v>
      </c>
      <c r="T66">
        <v>2</v>
      </c>
      <c r="U66">
        <v>2.5</v>
      </c>
    </row>
    <row r="67" spans="1:24" x14ac:dyDescent="0.2">
      <c r="A67" s="7">
        <v>41575</v>
      </c>
      <c r="B67" s="30">
        <v>2013</v>
      </c>
      <c r="C67">
        <v>2</v>
      </c>
      <c r="D67">
        <v>26</v>
      </c>
      <c r="E67" t="s">
        <v>34</v>
      </c>
      <c r="F67" t="s">
        <v>17</v>
      </c>
      <c r="G67" t="s">
        <v>21</v>
      </c>
      <c r="H67">
        <v>4</v>
      </c>
      <c r="I67">
        <v>0</v>
      </c>
      <c r="J67">
        <v>0</v>
      </c>
      <c r="K67">
        <v>0</v>
      </c>
      <c r="L67">
        <v>0</v>
      </c>
      <c r="M67">
        <v>10</v>
      </c>
      <c r="N67">
        <v>0</v>
      </c>
      <c r="O67">
        <v>0</v>
      </c>
      <c r="P67">
        <v>0</v>
      </c>
      <c r="Q67">
        <v>0</v>
      </c>
      <c r="R67">
        <v>0</v>
      </c>
      <c r="S67">
        <v>14</v>
      </c>
      <c r="T67">
        <v>2</v>
      </c>
      <c r="U67">
        <v>2.5</v>
      </c>
    </row>
    <row r="68" spans="1:24" x14ac:dyDescent="0.2">
      <c r="A68" s="7">
        <v>41575</v>
      </c>
      <c r="B68" s="30">
        <v>2013</v>
      </c>
      <c r="C68">
        <v>3</v>
      </c>
      <c r="D68">
        <v>26</v>
      </c>
      <c r="E68" t="s">
        <v>34</v>
      </c>
      <c r="F68" t="s">
        <v>14</v>
      </c>
      <c r="G68" t="s">
        <v>21</v>
      </c>
      <c r="H68">
        <v>46</v>
      </c>
      <c r="I68">
        <v>0</v>
      </c>
      <c r="J68">
        <v>0</v>
      </c>
      <c r="K68">
        <v>0</v>
      </c>
      <c r="L68">
        <v>0</v>
      </c>
      <c r="M68">
        <v>1</v>
      </c>
      <c r="N68">
        <v>0</v>
      </c>
      <c r="O68">
        <v>0</v>
      </c>
      <c r="P68">
        <v>0</v>
      </c>
      <c r="Q68">
        <v>0</v>
      </c>
      <c r="R68">
        <v>0</v>
      </c>
      <c r="S68">
        <v>47</v>
      </c>
      <c r="T68">
        <v>2</v>
      </c>
      <c r="U68" s="8">
        <f>158/46</f>
        <v>3.4347826086956523</v>
      </c>
    </row>
    <row r="69" spans="1:24" x14ac:dyDescent="0.2">
      <c r="A69" s="7">
        <v>41575</v>
      </c>
      <c r="B69" s="30">
        <v>2013</v>
      </c>
      <c r="C69">
        <v>4</v>
      </c>
      <c r="D69">
        <v>26</v>
      </c>
      <c r="E69" t="s">
        <v>34</v>
      </c>
      <c r="F69" t="s">
        <v>14</v>
      </c>
      <c r="G69" t="s">
        <v>21</v>
      </c>
      <c r="H69">
        <v>79</v>
      </c>
      <c r="I69">
        <v>0</v>
      </c>
      <c r="J69">
        <v>0</v>
      </c>
      <c r="K69">
        <v>0</v>
      </c>
      <c r="L69">
        <v>0</v>
      </c>
      <c r="M69">
        <v>10</v>
      </c>
      <c r="N69">
        <v>0</v>
      </c>
      <c r="O69">
        <v>0</v>
      </c>
      <c r="P69">
        <v>0</v>
      </c>
      <c r="Q69">
        <v>3</v>
      </c>
      <c r="R69">
        <v>0</v>
      </c>
      <c r="S69">
        <v>92</v>
      </c>
      <c r="T69">
        <v>3</v>
      </c>
      <c r="U69" s="8">
        <f>177/79</f>
        <v>2.240506329113924</v>
      </c>
      <c r="X69">
        <v>8.3000000000000007</v>
      </c>
    </row>
    <row r="70" spans="1:24" x14ac:dyDescent="0.2">
      <c r="A70" s="7">
        <v>41934</v>
      </c>
      <c r="B70" s="30">
        <v>2014</v>
      </c>
      <c r="C70">
        <v>1</v>
      </c>
      <c r="D70">
        <v>18</v>
      </c>
      <c r="E70" t="s">
        <v>34</v>
      </c>
      <c r="F70" t="s">
        <v>17</v>
      </c>
      <c r="G70" t="s">
        <v>21</v>
      </c>
      <c r="H70">
        <v>133</v>
      </c>
      <c r="I70">
        <v>0</v>
      </c>
      <c r="J70">
        <v>0</v>
      </c>
      <c r="K70">
        <v>0</v>
      </c>
      <c r="L70">
        <v>0</v>
      </c>
      <c r="M70">
        <v>4</v>
      </c>
      <c r="N70">
        <v>0</v>
      </c>
      <c r="O70">
        <v>0</v>
      </c>
      <c r="P70">
        <v>4</v>
      </c>
      <c r="Q70">
        <v>0</v>
      </c>
      <c r="R70">
        <v>0</v>
      </c>
      <c r="S70">
        <f t="shared" ref="S70:S85" si="2">SUM(H70:R70)</f>
        <v>141</v>
      </c>
      <c r="T70">
        <v>3</v>
      </c>
      <c r="U70" s="8">
        <f>335/133</f>
        <v>2.518796992481203</v>
      </c>
      <c r="W70">
        <f>20/4</f>
        <v>5</v>
      </c>
    </row>
    <row r="71" spans="1:24" x14ac:dyDescent="0.2">
      <c r="A71" s="7">
        <v>41934</v>
      </c>
      <c r="B71" s="30">
        <v>2014</v>
      </c>
      <c r="C71">
        <v>2</v>
      </c>
      <c r="D71">
        <v>18</v>
      </c>
      <c r="E71" t="s">
        <v>34</v>
      </c>
      <c r="F71" t="s">
        <v>17</v>
      </c>
      <c r="G71" t="s">
        <v>21</v>
      </c>
      <c r="H71">
        <v>205</v>
      </c>
      <c r="I71">
        <v>0</v>
      </c>
      <c r="J71">
        <v>0</v>
      </c>
      <c r="K71">
        <v>0</v>
      </c>
      <c r="L71">
        <v>0</v>
      </c>
      <c r="M71">
        <v>6</v>
      </c>
      <c r="N71">
        <v>0</v>
      </c>
      <c r="O71">
        <v>0</v>
      </c>
      <c r="P71">
        <v>2</v>
      </c>
      <c r="Q71">
        <v>0</v>
      </c>
      <c r="R71">
        <v>0</v>
      </c>
      <c r="S71">
        <f t="shared" si="2"/>
        <v>213</v>
      </c>
      <c r="T71">
        <v>3</v>
      </c>
      <c r="U71" s="8">
        <f>447/205</f>
        <v>2.1804878048780489</v>
      </c>
      <c r="W71">
        <f>3/2</f>
        <v>1.5</v>
      </c>
    </row>
    <row r="72" spans="1:24" x14ac:dyDescent="0.2">
      <c r="A72" s="7">
        <v>41934</v>
      </c>
      <c r="B72" s="30">
        <v>2014</v>
      </c>
      <c r="C72">
        <v>3</v>
      </c>
      <c r="D72">
        <v>18</v>
      </c>
      <c r="E72" t="s">
        <v>34</v>
      </c>
      <c r="F72" t="s">
        <v>14</v>
      </c>
      <c r="G72" t="s">
        <v>21</v>
      </c>
      <c r="H72">
        <v>105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4</v>
      </c>
      <c r="Q72">
        <v>0</v>
      </c>
      <c r="R72">
        <v>0</v>
      </c>
      <c r="S72">
        <f t="shared" si="2"/>
        <v>109</v>
      </c>
      <c r="T72">
        <v>2</v>
      </c>
      <c r="U72" s="8">
        <f>425/105</f>
        <v>4.0476190476190474</v>
      </c>
      <c r="W72">
        <f>35/4</f>
        <v>8.75</v>
      </c>
    </row>
    <row r="73" spans="1:24" x14ac:dyDescent="0.2">
      <c r="A73" s="7">
        <v>41934</v>
      </c>
      <c r="B73" s="30">
        <v>2014</v>
      </c>
      <c r="C73">
        <v>4</v>
      </c>
      <c r="D73">
        <v>18</v>
      </c>
      <c r="E73" t="s">
        <v>34</v>
      </c>
      <c r="F73" t="s">
        <v>14</v>
      </c>
      <c r="G73" t="s">
        <v>21</v>
      </c>
      <c r="H73">
        <v>170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2</v>
      </c>
      <c r="Q73">
        <v>0</v>
      </c>
      <c r="R73">
        <v>0</v>
      </c>
      <c r="S73">
        <f t="shared" si="2"/>
        <v>172</v>
      </c>
      <c r="T73">
        <v>2</v>
      </c>
      <c r="U73" s="8">
        <f>728/170</f>
        <v>4.2823529411764705</v>
      </c>
      <c r="W73">
        <f>15/2</f>
        <v>7.5</v>
      </c>
    </row>
    <row r="74" spans="1:24" x14ac:dyDescent="0.2">
      <c r="A74" s="7">
        <v>42298</v>
      </c>
      <c r="B74" s="30">
        <v>2015</v>
      </c>
      <c r="C74">
        <v>1</v>
      </c>
      <c r="D74">
        <v>12</v>
      </c>
      <c r="E74" t="s">
        <v>34</v>
      </c>
      <c r="F74" t="s">
        <v>17</v>
      </c>
      <c r="G74" t="s">
        <v>21</v>
      </c>
      <c r="H74">
        <v>56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f t="shared" si="2"/>
        <v>56</v>
      </c>
      <c r="T74">
        <v>1</v>
      </c>
      <c r="U74" s="8">
        <f>100/56</f>
        <v>1.7857142857142858</v>
      </c>
    </row>
    <row r="75" spans="1:24" x14ac:dyDescent="0.2">
      <c r="A75" s="7">
        <v>42298</v>
      </c>
      <c r="B75" s="30">
        <v>2015</v>
      </c>
      <c r="C75">
        <v>2</v>
      </c>
      <c r="D75">
        <v>12</v>
      </c>
      <c r="E75" t="s">
        <v>34</v>
      </c>
      <c r="F75" t="s">
        <v>17</v>
      </c>
      <c r="G75" t="s">
        <v>21</v>
      </c>
      <c r="H75">
        <v>47</v>
      </c>
      <c r="I75">
        <v>0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f t="shared" si="2"/>
        <v>48</v>
      </c>
      <c r="T75">
        <v>2</v>
      </c>
      <c r="U75" s="8">
        <f>80/47</f>
        <v>1.7021276595744681</v>
      </c>
    </row>
    <row r="76" spans="1:24" x14ac:dyDescent="0.2">
      <c r="A76" s="7">
        <v>42298</v>
      </c>
      <c r="B76" s="30">
        <v>2015</v>
      </c>
      <c r="C76">
        <v>3</v>
      </c>
      <c r="D76">
        <v>12</v>
      </c>
      <c r="E76" t="s">
        <v>34</v>
      </c>
      <c r="F76" t="s">
        <v>14</v>
      </c>
      <c r="G76" t="s">
        <v>21</v>
      </c>
      <c r="H76">
        <v>17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f t="shared" si="2"/>
        <v>17</v>
      </c>
      <c r="T76">
        <v>1</v>
      </c>
      <c r="U76" s="8">
        <f>25/17</f>
        <v>1.4705882352941178</v>
      </c>
    </row>
    <row r="77" spans="1:24" x14ac:dyDescent="0.2">
      <c r="A77" s="7">
        <v>42298</v>
      </c>
      <c r="B77" s="30">
        <v>2015</v>
      </c>
      <c r="C77">
        <v>4</v>
      </c>
      <c r="D77">
        <v>12</v>
      </c>
      <c r="E77" t="s">
        <v>34</v>
      </c>
      <c r="F77" t="s">
        <v>14</v>
      </c>
      <c r="G77" t="s">
        <v>21</v>
      </c>
      <c r="H77">
        <v>4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f t="shared" si="2"/>
        <v>4</v>
      </c>
      <c r="T77">
        <v>1</v>
      </c>
      <c r="U77" s="8">
        <f>10/4</f>
        <v>2.5</v>
      </c>
    </row>
    <row r="78" spans="1:24" x14ac:dyDescent="0.2">
      <c r="A78" s="7">
        <v>42500</v>
      </c>
      <c r="B78" s="30">
        <v>2016</v>
      </c>
      <c r="C78">
        <v>1</v>
      </c>
      <c r="D78">
        <v>1.25</v>
      </c>
      <c r="E78" t="s">
        <v>33</v>
      </c>
      <c r="F78" t="s">
        <v>17</v>
      </c>
      <c r="G78" t="s">
        <v>21</v>
      </c>
      <c r="H78">
        <v>44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f t="shared" si="2"/>
        <v>44</v>
      </c>
      <c r="T78">
        <v>1</v>
      </c>
      <c r="U78">
        <f>100/44</f>
        <v>2.2727272727272729</v>
      </c>
    </row>
    <row r="79" spans="1:24" x14ac:dyDescent="0.2">
      <c r="A79" s="7">
        <v>42500</v>
      </c>
      <c r="B79" s="30">
        <v>2016</v>
      </c>
      <c r="C79">
        <v>2</v>
      </c>
      <c r="D79">
        <v>2.25</v>
      </c>
      <c r="E79" t="s">
        <v>33</v>
      </c>
      <c r="F79" t="s">
        <v>17</v>
      </c>
      <c r="G79" t="s">
        <v>21</v>
      </c>
      <c r="H79">
        <v>9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f t="shared" si="2"/>
        <v>9</v>
      </c>
      <c r="T79">
        <v>1</v>
      </c>
      <c r="U79">
        <f>15/9</f>
        <v>1.6666666666666667</v>
      </c>
    </row>
    <row r="80" spans="1:24" x14ac:dyDescent="0.2">
      <c r="A80" s="7">
        <v>42500</v>
      </c>
      <c r="B80" s="30">
        <v>2016</v>
      </c>
      <c r="C80">
        <v>3</v>
      </c>
      <c r="D80">
        <v>2.25</v>
      </c>
      <c r="E80" t="s">
        <v>33</v>
      </c>
      <c r="F80" t="s">
        <v>14</v>
      </c>
      <c r="G80" t="s">
        <v>21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f t="shared" si="2"/>
        <v>0</v>
      </c>
      <c r="T80">
        <v>0</v>
      </c>
    </row>
    <row r="81" spans="1:23" x14ac:dyDescent="0.2">
      <c r="A81" s="7">
        <v>42500</v>
      </c>
      <c r="B81" s="30">
        <v>2016</v>
      </c>
      <c r="C81">
        <v>4</v>
      </c>
      <c r="D81">
        <v>1.75</v>
      </c>
      <c r="E81" t="s">
        <v>33</v>
      </c>
      <c r="F81" t="s">
        <v>14</v>
      </c>
      <c r="G81" t="s">
        <v>21</v>
      </c>
      <c r="H81">
        <v>201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f t="shared" si="2"/>
        <v>201</v>
      </c>
      <c r="T81">
        <v>1</v>
      </c>
      <c r="U81">
        <f>315/201</f>
        <v>1.5671641791044777</v>
      </c>
    </row>
    <row r="82" spans="1:23" x14ac:dyDescent="0.2">
      <c r="A82" s="7">
        <v>42649</v>
      </c>
      <c r="B82" s="30">
        <v>2016</v>
      </c>
      <c r="C82">
        <v>1</v>
      </c>
      <c r="D82">
        <v>18</v>
      </c>
      <c r="E82" t="s">
        <v>34</v>
      </c>
      <c r="F82" t="s">
        <v>17</v>
      </c>
      <c r="G82" t="s">
        <v>21</v>
      </c>
      <c r="H82">
        <v>53</v>
      </c>
      <c r="I82">
        <v>0</v>
      </c>
      <c r="J82">
        <v>0</v>
      </c>
      <c r="K82">
        <v>0</v>
      </c>
      <c r="L82">
        <v>0</v>
      </c>
      <c r="M82">
        <v>2</v>
      </c>
      <c r="N82">
        <v>0</v>
      </c>
      <c r="O82">
        <v>0</v>
      </c>
      <c r="P82">
        <v>2</v>
      </c>
      <c r="Q82">
        <v>0</v>
      </c>
      <c r="R82">
        <v>0</v>
      </c>
      <c r="S82">
        <f t="shared" si="2"/>
        <v>57</v>
      </c>
      <c r="T82">
        <v>3</v>
      </c>
      <c r="U82">
        <f>175/53</f>
        <v>3.3018867924528301</v>
      </c>
      <c r="W82">
        <f>5/2</f>
        <v>2.5</v>
      </c>
    </row>
    <row r="83" spans="1:23" x14ac:dyDescent="0.2">
      <c r="A83" s="7">
        <v>42649</v>
      </c>
      <c r="B83" s="30">
        <v>2016</v>
      </c>
      <c r="C83">
        <v>2</v>
      </c>
      <c r="D83">
        <v>18</v>
      </c>
      <c r="E83" t="s">
        <v>34</v>
      </c>
      <c r="F83" t="s">
        <v>17</v>
      </c>
      <c r="G83" t="s">
        <v>21</v>
      </c>
      <c r="H83">
        <v>138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</v>
      </c>
      <c r="Q83">
        <v>0</v>
      </c>
      <c r="R83">
        <v>0</v>
      </c>
      <c r="S83">
        <f t="shared" si="2"/>
        <v>139</v>
      </c>
      <c r="T83">
        <v>2</v>
      </c>
      <c r="U83">
        <f>360/138</f>
        <v>2.6086956521739131</v>
      </c>
      <c r="W83">
        <f>5/1</f>
        <v>5</v>
      </c>
    </row>
    <row r="84" spans="1:23" x14ac:dyDescent="0.2">
      <c r="A84" s="7">
        <v>42649</v>
      </c>
      <c r="B84" s="30">
        <v>2016</v>
      </c>
      <c r="C84">
        <v>3</v>
      </c>
      <c r="D84">
        <v>18</v>
      </c>
      <c r="E84" t="s">
        <v>34</v>
      </c>
      <c r="F84" t="s">
        <v>14</v>
      </c>
      <c r="G84" t="s">
        <v>21</v>
      </c>
      <c r="H84">
        <v>119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f t="shared" si="2"/>
        <v>120</v>
      </c>
      <c r="T84">
        <v>2</v>
      </c>
      <c r="U84">
        <f>540/119</f>
        <v>4.53781512605042</v>
      </c>
      <c r="W84">
        <f>4/1</f>
        <v>4</v>
      </c>
    </row>
    <row r="85" spans="1:23" x14ac:dyDescent="0.2">
      <c r="A85" s="7">
        <v>42649</v>
      </c>
      <c r="B85" s="30">
        <v>2016</v>
      </c>
      <c r="C85">
        <v>4</v>
      </c>
      <c r="D85">
        <v>18</v>
      </c>
      <c r="E85" t="s">
        <v>34</v>
      </c>
      <c r="F85" t="s">
        <v>14</v>
      </c>
      <c r="G85" t="s">
        <v>21</v>
      </c>
      <c r="H85">
        <v>206</v>
      </c>
      <c r="I85">
        <v>0</v>
      </c>
      <c r="J85">
        <v>0</v>
      </c>
      <c r="K85">
        <v>0</v>
      </c>
      <c r="L85">
        <v>0</v>
      </c>
      <c r="M85">
        <v>2</v>
      </c>
      <c r="N85">
        <v>0</v>
      </c>
      <c r="O85">
        <v>0</v>
      </c>
      <c r="P85">
        <v>4</v>
      </c>
      <c r="Q85">
        <v>0</v>
      </c>
      <c r="R85">
        <v>0</v>
      </c>
      <c r="S85">
        <f t="shared" si="2"/>
        <v>212</v>
      </c>
      <c r="T85">
        <v>3</v>
      </c>
      <c r="U85">
        <f>1045/206</f>
        <v>5.0728155339805827</v>
      </c>
      <c r="W85">
        <f>16/4</f>
        <v>4</v>
      </c>
    </row>
    <row r="86" spans="1:23" x14ac:dyDescent="0.2">
      <c r="A86" s="7">
        <v>42873</v>
      </c>
      <c r="B86" s="30">
        <v>2017</v>
      </c>
      <c r="C86">
        <v>1</v>
      </c>
      <c r="E86" t="s">
        <v>33</v>
      </c>
      <c r="F86" t="s">
        <v>17</v>
      </c>
      <c r="G86" t="s">
        <v>21</v>
      </c>
      <c r="H86">
        <v>13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13</v>
      </c>
      <c r="T86">
        <v>1</v>
      </c>
      <c r="U86">
        <v>8.6669999999999998</v>
      </c>
    </row>
    <row r="87" spans="1:23" x14ac:dyDescent="0.2">
      <c r="A87" s="7">
        <v>42873</v>
      </c>
      <c r="B87" s="30">
        <v>2017</v>
      </c>
      <c r="C87">
        <v>2</v>
      </c>
      <c r="E87" t="s">
        <v>33</v>
      </c>
      <c r="F87" t="s">
        <v>17</v>
      </c>
      <c r="G87" t="s">
        <v>21</v>
      </c>
      <c r="H87">
        <v>9</v>
      </c>
      <c r="I87">
        <v>0</v>
      </c>
      <c r="J87">
        <v>0</v>
      </c>
      <c r="K87">
        <v>0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10</v>
      </c>
      <c r="T87">
        <v>2</v>
      </c>
      <c r="U87">
        <v>5.5</v>
      </c>
      <c r="V87">
        <v>20</v>
      </c>
    </row>
    <row r="88" spans="1:23" x14ac:dyDescent="0.2">
      <c r="A88" s="7">
        <v>42873</v>
      </c>
      <c r="B88" s="30">
        <v>2017</v>
      </c>
      <c r="C88">
        <v>3</v>
      </c>
      <c r="E88" t="s">
        <v>33</v>
      </c>
      <c r="F88" t="s">
        <v>14</v>
      </c>
      <c r="G88" t="s">
        <v>21</v>
      </c>
      <c r="H88">
        <v>5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5</v>
      </c>
      <c r="T88">
        <v>1</v>
      </c>
      <c r="U88">
        <v>5</v>
      </c>
    </row>
    <row r="89" spans="1:23" x14ac:dyDescent="0.2">
      <c r="A89" s="7">
        <v>42873</v>
      </c>
      <c r="B89" s="30">
        <v>2017</v>
      </c>
      <c r="C89">
        <v>4</v>
      </c>
      <c r="E89" t="s">
        <v>33</v>
      </c>
      <c r="F89" t="s">
        <v>14</v>
      </c>
      <c r="G89" t="s">
        <v>21</v>
      </c>
      <c r="H89">
        <v>26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26</v>
      </c>
      <c r="T89">
        <v>1</v>
      </c>
      <c r="U89">
        <v>3.02</v>
      </c>
    </row>
    <row r="90" spans="1:23" x14ac:dyDescent="0.2">
      <c r="A90" s="7">
        <v>43230</v>
      </c>
      <c r="B90" s="30">
        <v>2018</v>
      </c>
      <c r="C90">
        <v>1</v>
      </c>
      <c r="D90">
        <v>14</v>
      </c>
      <c r="E90" t="s">
        <v>33</v>
      </c>
      <c r="F90" t="s">
        <v>17</v>
      </c>
      <c r="G90" t="s">
        <v>21</v>
      </c>
      <c r="H90">
        <v>6</v>
      </c>
      <c r="I90">
        <v>0</v>
      </c>
      <c r="J90">
        <v>0</v>
      </c>
      <c r="K90">
        <v>0</v>
      </c>
      <c r="L90">
        <v>1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f t="shared" ref="S90:S93" si="3">SUM(H90:R90)</f>
        <v>7</v>
      </c>
      <c r="T90">
        <v>1</v>
      </c>
      <c r="U90">
        <f>18/6</f>
        <v>3</v>
      </c>
    </row>
    <row r="91" spans="1:23" x14ac:dyDescent="0.2">
      <c r="A91" s="7">
        <v>43230</v>
      </c>
      <c r="B91" s="30">
        <v>2018</v>
      </c>
      <c r="C91">
        <v>2</v>
      </c>
      <c r="D91">
        <v>14</v>
      </c>
      <c r="E91" t="s">
        <v>33</v>
      </c>
      <c r="F91" t="s">
        <v>17</v>
      </c>
      <c r="G91" t="s">
        <v>21</v>
      </c>
      <c r="H91">
        <v>3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f t="shared" si="3"/>
        <v>3</v>
      </c>
      <c r="T91">
        <v>1</v>
      </c>
      <c r="U91">
        <f>6/3</f>
        <v>2</v>
      </c>
    </row>
    <row r="92" spans="1:23" x14ac:dyDescent="0.2">
      <c r="A92" s="7">
        <v>43230</v>
      </c>
      <c r="B92" s="30">
        <v>2018</v>
      </c>
      <c r="C92">
        <v>3</v>
      </c>
      <c r="D92">
        <v>14</v>
      </c>
      <c r="E92" t="s">
        <v>33</v>
      </c>
      <c r="F92" t="s">
        <v>14</v>
      </c>
      <c r="G92" t="s">
        <v>21</v>
      </c>
      <c r="H92">
        <v>32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f t="shared" si="3"/>
        <v>32</v>
      </c>
      <c r="T92">
        <v>2</v>
      </c>
      <c r="U92">
        <f>70/32</f>
        <v>2.1875</v>
      </c>
    </row>
    <row r="93" spans="1:23" x14ac:dyDescent="0.2">
      <c r="A93" s="7">
        <v>43230</v>
      </c>
      <c r="B93" s="30">
        <v>2018</v>
      </c>
      <c r="C93">
        <v>4</v>
      </c>
      <c r="D93">
        <v>14</v>
      </c>
      <c r="E93" t="s">
        <v>33</v>
      </c>
      <c r="F93" t="s">
        <v>14</v>
      </c>
      <c r="G93" t="s">
        <v>21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f t="shared" si="3"/>
        <v>0</v>
      </c>
      <c r="T93">
        <v>0</v>
      </c>
    </row>
    <row r="94" spans="1:23" x14ac:dyDescent="0.2">
      <c r="A94" s="7">
        <v>43392</v>
      </c>
      <c r="B94" s="30">
        <v>2018</v>
      </c>
      <c r="C94">
        <v>1</v>
      </c>
      <c r="D94">
        <v>16</v>
      </c>
      <c r="E94" t="s">
        <v>34</v>
      </c>
      <c r="F94" t="s">
        <v>17</v>
      </c>
      <c r="G94" t="s">
        <v>21</v>
      </c>
      <c r="H94">
        <v>8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1</v>
      </c>
      <c r="Q94">
        <v>0</v>
      </c>
      <c r="R94">
        <v>0</v>
      </c>
      <c r="S94">
        <f t="shared" ref="S94:S97" si="4">SUM(H94:R94)</f>
        <v>9</v>
      </c>
      <c r="T94">
        <v>2</v>
      </c>
      <c r="U94">
        <f>20/8</f>
        <v>2.5</v>
      </c>
      <c r="W94">
        <v>1</v>
      </c>
    </row>
    <row r="95" spans="1:23" x14ac:dyDescent="0.2">
      <c r="A95" s="7">
        <v>43392</v>
      </c>
      <c r="B95" s="30">
        <v>2018</v>
      </c>
      <c r="C95">
        <v>2</v>
      </c>
      <c r="D95">
        <v>16</v>
      </c>
      <c r="E95" t="s">
        <v>34</v>
      </c>
      <c r="F95" t="s">
        <v>17</v>
      </c>
      <c r="G95" t="s">
        <v>21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f t="shared" si="4"/>
        <v>0</v>
      </c>
      <c r="T95">
        <v>0</v>
      </c>
    </row>
    <row r="96" spans="1:23" x14ac:dyDescent="0.2">
      <c r="A96" s="7">
        <v>43392</v>
      </c>
      <c r="B96" s="30">
        <v>2018</v>
      </c>
      <c r="C96">
        <v>3</v>
      </c>
      <c r="D96">
        <v>16</v>
      </c>
      <c r="E96" t="s">
        <v>34</v>
      </c>
      <c r="F96" t="s">
        <v>14</v>
      </c>
      <c r="G96" t="s">
        <v>21</v>
      </c>
      <c r="H96">
        <v>150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f t="shared" si="4"/>
        <v>150</v>
      </c>
      <c r="T96">
        <v>1</v>
      </c>
      <c r="U96">
        <f>451/150</f>
        <v>3.0066666666666668</v>
      </c>
    </row>
    <row r="97" spans="1:21" x14ac:dyDescent="0.2">
      <c r="A97" s="7">
        <v>43392</v>
      </c>
      <c r="B97" s="30">
        <v>2018</v>
      </c>
      <c r="C97">
        <v>4</v>
      </c>
      <c r="D97">
        <v>16</v>
      </c>
      <c r="E97" t="s">
        <v>34</v>
      </c>
      <c r="F97" t="s">
        <v>14</v>
      </c>
      <c r="G97" t="s">
        <v>21</v>
      </c>
      <c r="H97">
        <v>162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f t="shared" si="4"/>
        <v>162</v>
      </c>
      <c r="T97">
        <v>1</v>
      </c>
      <c r="U97">
        <f>392/162</f>
        <v>2.4197530864197532</v>
      </c>
    </row>
    <row r="98" spans="1:21" x14ac:dyDescent="0.2">
      <c r="B98" s="30"/>
    </row>
    <row r="99" spans="1:21" x14ac:dyDescent="0.2">
      <c r="B99" s="30"/>
    </row>
    <row r="100" spans="1:21" x14ac:dyDescent="0.2">
      <c r="B100" s="30"/>
    </row>
    <row r="101" spans="1:21" x14ac:dyDescent="0.2">
      <c r="B101" s="30"/>
    </row>
    <row r="102" spans="1:21" x14ac:dyDescent="0.2">
      <c r="B102" s="30"/>
    </row>
    <row r="103" spans="1:21" x14ac:dyDescent="0.2">
      <c r="B103" s="30"/>
    </row>
    <row r="104" spans="1:21" x14ac:dyDescent="0.2">
      <c r="B104" s="30"/>
    </row>
    <row r="105" spans="1:21" x14ac:dyDescent="0.2">
      <c r="B105" s="30"/>
    </row>
    <row r="106" spans="1:21" x14ac:dyDescent="0.2">
      <c r="B106" s="30"/>
    </row>
    <row r="107" spans="1:21" x14ac:dyDescent="0.2">
      <c r="B107" s="30"/>
    </row>
    <row r="108" spans="1:21" x14ac:dyDescent="0.2">
      <c r="B108" s="30"/>
    </row>
    <row r="109" spans="1:21" x14ac:dyDescent="0.2">
      <c r="B109" s="30"/>
    </row>
    <row r="110" spans="1:21" x14ac:dyDescent="0.2">
      <c r="B110" s="30"/>
    </row>
    <row r="111" spans="1:21" x14ac:dyDescent="0.2">
      <c r="B111" s="30"/>
    </row>
    <row r="112" spans="1:21" x14ac:dyDescent="0.2">
      <c r="B112" s="30"/>
    </row>
    <row r="113" spans="2:2" x14ac:dyDescent="0.2">
      <c r="B113" s="30"/>
    </row>
    <row r="114" spans="2:2" x14ac:dyDescent="0.2">
      <c r="B114" s="30"/>
    </row>
    <row r="115" spans="2:2" x14ac:dyDescent="0.2">
      <c r="B115" s="30"/>
    </row>
    <row r="116" spans="2:2" x14ac:dyDescent="0.2">
      <c r="B116" s="30"/>
    </row>
    <row r="117" spans="2:2" x14ac:dyDescent="0.2">
      <c r="B117" s="30"/>
    </row>
    <row r="118" spans="2:2" x14ac:dyDescent="0.2">
      <c r="B118" s="30"/>
    </row>
    <row r="119" spans="2:2" x14ac:dyDescent="0.2">
      <c r="B119" s="30"/>
    </row>
    <row r="120" spans="2:2" x14ac:dyDescent="0.2">
      <c r="B120" s="30"/>
    </row>
    <row r="121" spans="2:2" x14ac:dyDescent="0.2">
      <c r="B121" s="30"/>
    </row>
    <row r="122" spans="2:2" x14ac:dyDescent="0.2">
      <c r="B122" s="30"/>
    </row>
    <row r="123" spans="2:2" x14ac:dyDescent="0.2">
      <c r="B123" s="30"/>
    </row>
    <row r="124" spans="2:2" x14ac:dyDescent="0.2">
      <c r="B124" s="30"/>
    </row>
    <row r="125" spans="2:2" x14ac:dyDescent="0.2">
      <c r="B125" s="30"/>
    </row>
    <row r="126" spans="2:2" x14ac:dyDescent="0.2">
      <c r="B126" s="30"/>
    </row>
    <row r="127" spans="2:2" x14ac:dyDescent="0.2">
      <c r="B127" s="30"/>
    </row>
    <row r="128" spans="2:2" x14ac:dyDescent="0.2">
      <c r="B128" s="30"/>
    </row>
    <row r="129" spans="2:2" x14ac:dyDescent="0.2">
      <c r="B129" s="30"/>
    </row>
    <row r="130" spans="2:2" x14ac:dyDescent="0.2">
      <c r="B130" s="30"/>
    </row>
    <row r="131" spans="2:2" x14ac:dyDescent="0.2">
      <c r="B131" s="30"/>
    </row>
    <row r="132" spans="2:2" x14ac:dyDescent="0.2">
      <c r="B132" s="30"/>
    </row>
    <row r="133" spans="2:2" x14ac:dyDescent="0.2">
      <c r="B133" s="30"/>
    </row>
    <row r="134" spans="2:2" x14ac:dyDescent="0.2">
      <c r="B134" s="30"/>
    </row>
    <row r="135" spans="2:2" x14ac:dyDescent="0.2">
      <c r="B135" s="30"/>
    </row>
    <row r="136" spans="2:2" x14ac:dyDescent="0.2">
      <c r="B136" s="30"/>
    </row>
    <row r="137" spans="2:2" x14ac:dyDescent="0.2">
      <c r="B137" s="30"/>
    </row>
    <row r="138" spans="2:2" x14ac:dyDescent="0.2">
      <c r="B138" s="30"/>
    </row>
    <row r="139" spans="2:2" x14ac:dyDescent="0.2">
      <c r="B139" s="30"/>
    </row>
    <row r="140" spans="2:2" x14ac:dyDescent="0.2">
      <c r="B140" s="30"/>
    </row>
    <row r="141" spans="2:2" x14ac:dyDescent="0.2">
      <c r="B141" s="30"/>
    </row>
    <row r="142" spans="2:2" x14ac:dyDescent="0.2">
      <c r="B142" s="30"/>
    </row>
    <row r="143" spans="2:2" x14ac:dyDescent="0.2">
      <c r="B143" s="30"/>
    </row>
    <row r="144" spans="2:2" x14ac:dyDescent="0.2">
      <c r="B144" s="30"/>
    </row>
    <row r="145" spans="2:2" x14ac:dyDescent="0.2">
      <c r="B145" s="30"/>
    </row>
    <row r="146" spans="2:2" x14ac:dyDescent="0.2">
      <c r="B146" s="30"/>
    </row>
    <row r="147" spans="2:2" x14ac:dyDescent="0.2">
      <c r="B147" s="30"/>
    </row>
    <row r="148" spans="2:2" x14ac:dyDescent="0.2">
      <c r="B148" s="30"/>
    </row>
    <row r="149" spans="2:2" x14ac:dyDescent="0.2">
      <c r="B149" s="30"/>
    </row>
    <row r="150" spans="2:2" x14ac:dyDescent="0.2">
      <c r="B150" s="30"/>
    </row>
    <row r="151" spans="2:2" x14ac:dyDescent="0.2">
      <c r="B151" s="30"/>
    </row>
    <row r="152" spans="2:2" x14ac:dyDescent="0.2">
      <c r="B152" s="30"/>
    </row>
    <row r="153" spans="2:2" x14ac:dyDescent="0.2">
      <c r="B153" s="30"/>
    </row>
    <row r="154" spans="2:2" x14ac:dyDescent="0.2">
      <c r="B154" s="30"/>
    </row>
    <row r="155" spans="2:2" x14ac:dyDescent="0.2">
      <c r="B155" s="30"/>
    </row>
    <row r="156" spans="2:2" x14ac:dyDescent="0.2">
      <c r="B156" s="30"/>
    </row>
    <row r="157" spans="2:2" x14ac:dyDescent="0.2">
      <c r="B157" s="30"/>
    </row>
    <row r="158" spans="2:2" x14ac:dyDescent="0.2">
      <c r="B158" s="30"/>
    </row>
    <row r="159" spans="2:2" x14ac:dyDescent="0.2">
      <c r="B159" s="30"/>
    </row>
    <row r="160" spans="2:2" x14ac:dyDescent="0.2">
      <c r="B160" s="30"/>
    </row>
    <row r="161" spans="2:2" x14ac:dyDescent="0.2">
      <c r="B161" s="30"/>
    </row>
    <row r="162" spans="2:2" x14ac:dyDescent="0.2">
      <c r="B162" s="30"/>
    </row>
    <row r="163" spans="2:2" x14ac:dyDescent="0.2">
      <c r="B163" s="30"/>
    </row>
    <row r="164" spans="2:2" x14ac:dyDescent="0.2">
      <c r="B164" s="30"/>
    </row>
    <row r="165" spans="2:2" x14ac:dyDescent="0.2">
      <c r="B165" s="30"/>
    </row>
    <row r="166" spans="2:2" x14ac:dyDescent="0.2">
      <c r="B166" s="30"/>
    </row>
    <row r="167" spans="2:2" x14ac:dyDescent="0.2">
      <c r="B167" s="30"/>
    </row>
    <row r="168" spans="2:2" x14ac:dyDescent="0.2">
      <c r="B168" s="30"/>
    </row>
    <row r="169" spans="2:2" x14ac:dyDescent="0.2">
      <c r="B169" s="30"/>
    </row>
    <row r="170" spans="2:2" x14ac:dyDescent="0.2">
      <c r="B170" s="30"/>
    </row>
    <row r="171" spans="2:2" x14ac:dyDescent="0.2">
      <c r="B171" s="30"/>
    </row>
    <row r="172" spans="2:2" x14ac:dyDescent="0.2">
      <c r="B172" s="30"/>
    </row>
    <row r="173" spans="2:2" x14ac:dyDescent="0.2">
      <c r="B173" s="30"/>
    </row>
    <row r="174" spans="2:2" x14ac:dyDescent="0.2">
      <c r="B174" s="30"/>
    </row>
    <row r="175" spans="2:2" x14ac:dyDescent="0.2">
      <c r="B175" s="30"/>
    </row>
    <row r="176" spans="2:2" x14ac:dyDescent="0.2">
      <c r="B176" s="30"/>
    </row>
    <row r="177" spans="2:2" x14ac:dyDescent="0.2">
      <c r="B177" s="30"/>
    </row>
    <row r="178" spans="2:2" x14ac:dyDescent="0.2">
      <c r="B178" s="30"/>
    </row>
    <row r="179" spans="2:2" x14ac:dyDescent="0.2">
      <c r="B179" s="30"/>
    </row>
    <row r="180" spans="2:2" x14ac:dyDescent="0.2">
      <c r="B180" s="30"/>
    </row>
    <row r="181" spans="2:2" x14ac:dyDescent="0.2">
      <c r="B181" s="30"/>
    </row>
    <row r="182" spans="2:2" x14ac:dyDescent="0.2">
      <c r="B182" s="30"/>
    </row>
    <row r="183" spans="2:2" x14ac:dyDescent="0.2">
      <c r="B183" s="30"/>
    </row>
    <row r="184" spans="2:2" x14ac:dyDescent="0.2">
      <c r="B184" s="30"/>
    </row>
    <row r="185" spans="2:2" x14ac:dyDescent="0.2">
      <c r="B185" s="30"/>
    </row>
    <row r="186" spans="2:2" x14ac:dyDescent="0.2">
      <c r="B186" s="30"/>
    </row>
    <row r="187" spans="2:2" x14ac:dyDescent="0.2">
      <c r="B187" s="30"/>
    </row>
    <row r="188" spans="2:2" x14ac:dyDescent="0.2">
      <c r="B188" s="30"/>
    </row>
    <row r="189" spans="2:2" x14ac:dyDescent="0.2">
      <c r="B189" s="30"/>
    </row>
    <row r="190" spans="2:2" x14ac:dyDescent="0.2">
      <c r="B190" s="30"/>
    </row>
    <row r="191" spans="2:2" x14ac:dyDescent="0.2">
      <c r="B191" s="30"/>
    </row>
    <row r="192" spans="2:2" x14ac:dyDescent="0.2">
      <c r="B192" s="30"/>
    </row>
    <row r="193" spans="2:2" x14ac:dyDescent="0.2">
      <c r="B193" s="30"/>
    </row>
    <row r="194" spans="2:2" x14ac:dyDescent="0.2">
      <c r="B194" s="30"/>
    </row>
    <row r="195" spans="2:2" x14ac:dyDescent="0.2">
      <c r="B195" s="30"/>
    </row>
    <row r="196" spans="2:2" x14ac:dyDescent="0.2">
      <c r="B196" s="30"/>
    </row>
    <row r="197" spans="2:2" x14ac:dyDescent="0.2">
      <c r="B197" s="30"/>
    </row>
    <row r="198" spans="2:2" x14ac:dyDescent="0.2">
      <c r="B198" s="30"/>
    </row>
    <row r="199" spans="2:2" x14ac:dyDescent="0.2">
      <c r="B199" s="30"/>
    </row>
    <row r="200" spans="2:2" x14ac:dyDescent="0.2">
      <c r="B200" s="30"/>
    </row>
    <row r="201" spans="2:2" x14ac:dyDescent="0.2">
      <c r="B201" s="30"/>
    </row>
    <row r="202" spans="2:2" x14ac:dyDescent="0.2">
      <c r="B202" s="30"/>
    </row>
    <row r="203" spans="2:2" x14ac:dyDescent="0.2">
      <c r="B203" s="30"/>
    </row>
    <row r="204" spans="2:2" x14ac:dyDescent="0.2">
      <c r="B204" s="30"/>
    </row>
    <row r="205" spans="2:2" x14ac:dyDescent="0.2">
      <c r="B205" s="30"/>
    </row>
    <row r="206" spans="2:2" x14ac:dyDescent="0.2">
      <c r="B206" s="30"/>
    </row>
    <row r="207" spans="2:2" x14ac:dyDescent="0.2">
      <c r="B207" s="30"/>
    </row>
    <row r="208" spans="2:2" x14ac:dyDescent="0.2">
      <c r="B208" s="30"/>
    </row>
    <row r="209" spans="2:2" x14ac:dyDescent="0.2">
      <c r="B209" s="30"/>
    </row>
    <row r="210" spans="2:2" x14ac:dyDescent="0.2">
      <c r="B210" s="30"/>
    </row>
    <row r="211" spans="2:2" x14ac:dyDescent="0.2">
      <c r="B211" s="30"/>
    </row>
    <row r="212" spans="2:2" x14ac:dyDescent="0.2">
      <c r="B212" s="30"/>
    </row>
    <row r="213" spans="2:2" x14ac:dyDescent="0.2">
      <c r="B213" s="30"/>
    </row>
    <row r="214" spans="2:2" x14ac:dyDescent="0.2">
      <c r="B214" s="30"/>
    </row>
    <row r="215" spans="2:2" x14ac:dyDescent="0.2">
      <c r="B215" s="30"/>
    </row>
    <row r="216" spans="2:2" x14ac:dyDescent="0.2">
      <c r="B216" s="30"/>
    </row>
    <row r="217" spans="2:2" x14ac:dyDescent="0.2">
      <c r="B217" s="30"/>
    </row>
    <row r="218" spans="2:2" x14ac:dyDescent="0.2">
      <c r="B218" s="30"/>
    </row>
    <row r="219" spans="2:2" x14ac:dyDescent="0.2">
      <c r="B219" s="30"/>
    </row>
    <row r="220" spans="2:2" x14ac:dyDescent="0.2">
      <c r="B220" s="30"/>
    </row>
    <row r="221" spans="2:2" x14ac:dyDescent="0.2">
      <c r="B221" s="30"/>
    </row>
    <row r="222" spans="2:2" x14ac:dyDescent="0.2">
      <c r="B222" s="30"/>
    </row>
    <row r="223" spans="2:2" x14ac:dyDescent="0.2">
      <c r="B223" s="30"/>
    </row>
    <row r="224" spans="2:2" x14ac:dyDescent="0.2">
      <c r="B224" s="30"/>
    </row>
    <row r="225" spans="2:2" x14ac:dyDescent="0.2">
      <c r="B225" s="30"/>
    </row>
    <row r="226" spans="2:2" x14ac:dyDescent="0.2">
      <c r="B226" s="30"/>
    </row>
    <row r="227" spans="2:2" x14ac:dyDescent="0.2">
      <c r="B227" s="30"/>
    </row>
    <row r="228" spans="2:2" x14ac:dyDescent="0.2">
      <c r="B228" s="30"/>
    </row>
    <row r="229" spans="2:2" x14ac:dyDescent="0.2">
      <c r="B229" s="30"/>
    </row>
    <row r="230" spans="2:2" x14ac:dyDescent="0.2">
      <c r="B230" s="30"/>
    </row>
    <row r="231" spans="2:2" x14ac:dyDescent="0.2">
      <c r="B231" s="30"/>
    </row>
    <row r="232" spans="2:2" x14ac:dyDescent="0.2">
      <c r="B232" s="30"/>
    </row>
    <row r="233" spans="2:2" x14ac:dyDescent="0.2">
      <c r="B233" s="30"/>
    </row>
    <row r="234" spans="2:2" x14ac:dyDescent="0.2">
      <c r="B234" s="30"/>
    </row>
    <row r="235" spans="2:2" x14ac:dyDescent="0.2">
      <c r="B235" s="30"/>
    </row>
    <row r="236" spans="2:2" x14ac:dyDescent="0.2">
      <c r="B236" s="30"/>
    </row>
    <row r="237" spans="2:2" x14ac:dyDescent="0.2">
      <c r="B237" s="30"/>
    </row>
    <row r="238" spans="2:2" x14ac:dyDescent="0.2">
      <c r="B238" s="30"/>
    </row>
    <row r="239" spans="2:2" x14ac:dyDescent="0.2">
      <c r="B239" s="30"/>
    </row>
    <row r="240" spans="2:2" x14ac:dyDescent="0.2">
      <c r="B240" s="30"/>
    </row>
    <row r="241" spans="2:2" x14ac:dyDescent="0.2">
      <c r="B241" s="30"/>
    </row>
    <row r="242" spans="2:2" x14ac:dyDescent="0.2">
      <c r="B242" s="30"/>
    </row>
    <row r="243" spans="2:2" x14ac:dyDescent="0.2">
      <c r="B243" s="30"/>
    </row>
    <row r="244" spans="2:2" x14ac:dyDescent="0.2">
      <c r="B244" s="30"/>
    </row>
    <row r="245" spans="2:2" x14ac:dyDescent="0.2">
      <c r="B245" s="30"/>
    </row>
    <row r="246" spans="2:2" x14ac:dyDescent="0.2">
      <c r="B246" s="30"/>
    </row>
    <row r="247" spans="2:2" x14ac:dyDescent="0.2">
      <c r="B247" s="30"/>
    </row>
    <row r="248" spans="2:2" x14ac:dyDescent="0.2">
      <c r="B248" s="30"/>
    </row>
    <row r="249" spans="2:2" x14ac:dyDescent="0.2">
      <c r="B249" s="30"/>
    </row>
    <row r="250" spans="2:2" x14ac:dyDescent="0.2">
      <c r="B250" s="30"/>
    </row>
    <row r="251" spans="2:2" x14ac:dyDescent="0.2">
      <c r="B251" s="30"/>
    </row>
    <row r="252" spans="2:2" x14ac:dyDescent="0.2">
      <c r="B252" s="30"/>
    </row>
    <row r="253" spans="2:2" x14ac:dyDescent="0.2">
      <c r="B253" s="30"/>
    </row>
    <row r="254" spans="2:2" x14ac:dyDescent="0.2">
      <c r="B254" s="30"/>
    </row>
    <row r="255" spans="2:2" x14ac:dyDescent="0.2">
      <c r="B255" s="30"/>
    </row>
    <row r="256" spans="2:2" x14ac:dyDescent="0.2">
      <c r="B256" s="30"/>
    </row>
    <row r="257" spans="2:2" x14ac:dyDescent="0.2">
      <c r="B257" s="30"/>
    </row>
    <row r="258" spans="2:2" x14ac:dyDescent="0.2">
      <c r="B258" s="30"/>
    </row>
    <row r="259" spans="2:2" x14ac:dyDescent="0.2">
      <c r="B259" s="30"/>
    </row>
    <row r="260" spans="2:2" x14ac:dyDescent="0.2">
      <c r="B260" s="30"/>
    </row>
    <row r="261" spans="2:2" x14ac:dyDescent="0.2">
      <c r="B261" s="30"/>
    </row>
    <row r="262" spans="2:2" x14ac:dyDescent="0.2">
      <c r="B262" s="30"/>
    </row>
    <row r="263" spans="2:2" x14ac:dyDescent="0.2">
      <c r="B263" s="30"/>
    </row>
    <row r="295" spans="2:2" x14ac:dyDescent="0.2">
      <c r="B295">
        <v>3004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5"/>
  <sheetViews>
    <sheetView zoomScaleNormal="100" workbookViewId="0">
      <pane xSplit="4" ySplit="5" topLeftCell="E75" activePane="bottomRight" state="frozen"/>
      <selection pane="topRight" activeCell="D1" sqref="D1"/>
      <selection pane="bottomLeft" activeCell="A6" sqref="A6"/>
      <selection pane="bottomRight" activeCell="A90" sqref="A90:XFD93"/>
    </sheetView>
  </sheetViews>
  <sheetFormatPr defaultRowHeight="12.75" x14ac:dyDescent="0.2"/>
  <cols>
    <col min="1" max="1" width="11.5703125" customWidth="1"/>
    <col min="2" max="2" width="6.85546875" customWidth="1"/>
    <col min="7" max="7" width="10.140625" customWidth="1"/>
    <col min="8" max="18" width="4.5703125" customWidth="1"/>
    <col min="21" max="24" width="5.7109375" customWidth="1"/>
  </cols>
  <sheetData>
    <row r="1" spans="1:25" x14ac:dyDescent="0.2">
      <c r="A1" s="5" t="s">
        <v>13</v>
      </c>
      <c r="B1" s="5"/>
    </row>
    <row r="2" spans="1:25" x14ac:dyDescent="0.2">
      <c r="A2" s="5" t="s">
        <v>4</v>
      </c>
      <c r="B2" s="5"/>
      <c r="H2" t="s">
        <v>23</v>
      </c>
    </row>
    <row r="3" spans="1:25" x14ac:dyDescent="0.2">
      <c r="A3" s="5" t="s">
        <v>5</v>
      </c>
      <c r="B3" s="5"/>
      <c r="G3" t="s">
        <v>74</v>
      </c>
      <c r="U3" s="6" t="s">
        <v>8</v>
      </c>
      <c r="V3" s="6"/>
      <c r="W3" s="6"/>
      <c r="X3" s="6"/>
    </row>
    <row r="4" spans="1:25" x14ac:dyDescent="0.2">
      <c r="A4" s="5" t="s">
        <v>16</v>
      </c>
      <c r="B4" s="5"/>
    </row>
    <row r="5" spans="1:25" ht="112.5" x14ac:dyDescent="0.2">
      <c r="A5" s="1" t="s">
        <v>0</v>
      </c>
      <c r="B5" s="1" t="s">
        <v>66</v>
      </c>
      <c r="C5" s="2" t="s">
        <v>1</v>
      </c>
      <c r="D5" s="3" t="s">
        <v>18</v>
      </c>
      <c r="E5" s="3" t="s">
        <v>32</v>
      </c>
      <c r="F5" s="3" t="s">
        <v>2</v>
      </c>
      <c r="G5" s="4" t="s">
        <v>19</v>
      </c>
      <c r="H5" s="4" t="s">
        <v>3</v>
      </c>
      <c r="I5" s="4" t="s">
        <v>22</v>
      </c>
      <c r="J5" s="4" t="s">
        <v>24</v>
      </c>
      <c r="K5" s="4" t="s">
        <v>25</v>
      </c>
      <c r="L5" s="4" t="s">
        <v>6</v>
      </c>
      <c r="M5" s="4" t="s">
        <v>56</v>
      </c>
      <c r="N5" s="4" t="s">
        <v>57</v>
      </c>
      <c r="O5" s="4" t="s">
        <v>58</v>
      </c>
      <c r="P5" s="4" t="s">
        <v>11</v>
      </c>
      <c r="Q5" s="4" t="s">
        <v>51</v>
      </c>
      <c r="R5" s="4" t="s">
        <v>7</v>
      </c>
      <c r="S5" s="3" t="s">
        <v>9</v>
      </c>
      <c r="T5" s="3" t="s">
        <v>10</v>
      </c>
      <c r="U5" s="4" t="s">
        <v>28</v>
      </c>
      <c r="V5" s="4" t="s">
        <v>29</v>
      </c>
      <c r="W5" s="4" t="s">
        <v>30</v>
      </c>
      <c r="X5" s="4" t="s">
        <v>68</v>
      </c>
      <c r="Y5" s="6" t="s">
        <v>12</v>
      </c>
    </row>
    <row r="6" spans="1:25" x14ac:dyDescent="0.2">
      <c r="A6" s="7">
        <v>37370</v>
      </c>
      <c r="B6" s="30">
        <v>2002</v>
      </c>
      <c r="C6">
        <v>4</v>
      </c>
      <c r="D6">
        <v>19</v>
      </c>
      <c r="E6" t="s">
        <v>33</v>
      </c>
      <c r="F6" t="s">
        <v>14</v>
      </c>
      <c r="G6" t="s">
        <v>20</v>
      </c>
      <c r="H6">
        <v>7</v>
      </c>
      <c r="S6">
        <f t="shared" ref="S6:S69" si="0">SUM(H6:R6)</f>
        <v>7</v>
      </c>
      <c r="T6">
        <v>1</v>
      </c>
      <c r="U6" s="8">
        <f>25/7</f>
        <v>3.5714285714285716</v>
      </c>
    </row>
    <row r="7" spans="1:25" x14ac:dyDescent="0.2">
      <c r="A7" s="7">
        <v>37370</v>
      </c>
      <c r="B7" s="30">
        <v>2002</v>
      </c>
      <c r="C7">
        <v>3</v>
      </c>
      <c r="D7">
        <v>19</v>
      </c>
      <c r="E7" t="s">
        <v>33</v>
      </c>
      <c r="F7" t="s">
        <v>14</v>
      </c>
      <c r="G7" t="s">
        <v>20</v>
      </c>
      <c r="H7">
        <v>23</v>
      </c>
      <c r="S7">
        <f t="shared" si="0"/>
        <v>23</v>
      </c>
      <c r="T7">
        <v>1</v>
      </c>
      <c r="U7" s="8">
        <f>110/23</f>
        <v>4.7826086956521738</v>
      </c>
    </row>
    <row r="8" spans="1:25" x14ac:dyDescent="0.2">
      <c r="A8" s="7">
        <v>37370</v>
      </c>
      <c r="B8" s="30">
        <v>2002</v>
      </c>
      <c r="C8" t="s">
        <v>15</v>
      </c>
      <c r="D8">
        <v>0.5</v>
      </c>
      <c r="E8" t="s">
        <v>33</v>
      </c>
      <c r="F8" t="s">
        <v>17</v>
      </c>
      <c r="G8" t="s">
        <v>20</v>
      </c>
      <c r="S8">
        <f t="shared" si="0"/>
        <v>0</v>
      </c>
      <c r="T8">
        <v>0</v>
      </c>
      <c r="U8" s="8"/>
    </row>
    <row r="9" spans="1:25" x14ac:dyDescent="0.2">
      <c r="A9" s="7">
        <v>37384</v>
      </c>
      <c r="B9" s="30">
        <v>2002</v>
      </c>
      <c r="C9">
        <v>3</v>
      </c>
      <c r="D9">
        <v>20</v>
      </c>
      <c r="E9" t="s">
        <v>33</v>
      </c>
      <c r="F9" t="s">
        <v>14</v>
      </c>
      <c r="G9" t="s">
        <v>20</v>
      </c>
      <c r="R9">
        <v>2</v>
      </c>
      <c r="S9">
        <f t="shared" si="0"/>
        <v>2</v>
      </c>
      <c r="T9">
        <v>1</v>
      </c>
      <c r="U9" s="8"/>
    </row>
    <row r="10" spans="1:25" x14ac:dyDescent="0.2">
      <c r="A10" s="7">
        <v>37384</v>
      </c>
      <c r="B10" s="30">
        <v>2002</v>
      </c>
      <c r="C10">
        <v>4</v>
      </c>
      <c r="D10">
        <v>20</v>
      </c>
      <c r="E10" t="s">
        <v>33</v>
      </c>
      <c r="F10" t="s">
        <v>14</v>
      </c>
      <c r="G10" t="s">
        <v>20</v>
      </c>
      <c r="L10">
        <v>1</v>
      </c>
      <c r="S10">
        <f t="shared" si="0"/>
        <v>1</v>
      </c>
      <c r="T10">
        <v>1</v>
      </c>
      <c r="U10" s="8"/>
      <c r="V10">
        <f>10/1</f>
        <v>10</v>
      </c>
    </row>
    <row r="11" spans="1:25" x14ac:dyDescent="0.2">
      <c r="A11" s="7">
        <v>37384</v>
      </c>
      <c r="B11" s="30">
        <v>2002</v>
      </c>
      <c r="C11" t="s">
        <v>15</v>
      </c>
      <c r="D11">
        <v>0.5</v>
      </c>
      <c r="E11" t="s">
        <v>33</v>
      </c>
      <c r="F11" t="s">
        <v>17</v>
      </c>
      <c r="G11" t="s">
        <v>20</v>
      </c>
      <c r="S11">
        <f t="shared" si="0"/>
        <v>0</v>
      </c>
      <c r="T11">
        <v>0</v>
      </c>
      <c r="U11" s="8"/>
    </row>
    <row r="12" spans="1:25" x14ac:dyDescent="0.2">
      <c r="A12" s="7">
        <v>37398</v>
      </c>
      <c r="B12" s="30">
        <v>2002</v>
      </c>
      <c r="C12">
        <v>4</v>
      </c>
      <c r="D12">
        <v>20.5</v>
      </c>
      <c r="E12" t="s">
        <v>33</v>
      </c>
      <c r="F12" t="s">
        <v>14</v>
      </c>
      <c r="G12" t="s">
        <v>20</v>
      </c>
      <c r="H12">
        <v>1</v>
      </c>
      <c r="S12">
        <f t="shared" si="0"/>
        <v>1</v>
      </c>
      <c r="T12">
        <v>1</v>
      </c>
      <c r="U12" s="8">
        <f>5/1</f>
        <v>5</v>
      </c>
    </row>
    <row r="13" spans="1:25" x14ac:dyDescent="0.2">
      <c r="A13" s="7">
        <v>37398</v>
      </c>
      <c r="B13" s="30">
        <v>2002</v>
      </c>
      <c r="C13" t="s">
        <v>15</v>
      </c>
      <c r="D13">
        <v>0.5</v>
      </c>
      <c r="E13" t="s">
        <v>33</v>
      </c>
      <c r="F13" t="s">
        <v>17</v>
      </c>
      <c r="G13" t="s">
        <v>20</v>
      </c>
      <c r="S13">
        <f t="shared" si="0"/>
        <v>0</v>
      </c>
      <c r="T13">
        <v>0</v>
      </c>
    </row>
    <row r="14" spans="1:25" x14ac:dyDescent="0.2">
      <c r="A14" s="7">
        <v>37775</v>
      </c>
      <c r="B14" s="30">
        <v>2003</v>
      </c>
      <c r="C14">
        <v>1</v>
      </c>
      <c r="D14">
        <v>26</v>
      </c>
      <c r="E14" t="s">
        <v>33</v>
      </c>
      <c r="F14" t="s">
        <v>17</v>
      </c>
      <c r="G14" t="s">
        <v>20</v>
      </c>
      <c r="H14">
        <v>14</v>
      </c>
      <c r="O14">
        <v>2</v>
      </c>
      <c r="S14">
        <f t="shared" si="0"/>
        <v>16</v>
      </c>
      <c r="T14">
        <v>2</v>
      </c>
      <c r="U14">
        <v>2.1</v>
      </c>
    </row>
    <row r="15" spans="1:25" x14ac:dyDescent="0.2">
      <c r="A15" s="7">
        <v>37775</v>
      </c>
      <c r="B15" s="30">
        <v>2003</v>
      </c>
      <c r="C15">
        <v>3</v>
      </c>
      <c r="D15">
        <v>27.5</v>
      </c>
      <c r="E15" t="s">
        <v>33</v>
      </c>
      <c r="F15" t="s">
        <v>14</v>
      </c>
      <c r="G15" t="s">
        <v>20</v>
      </c>
      <c r="H15">
        <v>1</v>
      </c>
      <c r="S15">
        <f t="shared" si="0"/>
        <v>1</v>
      </c>
      <c r="T15">
        <v>1</v>
      </c>
      <c r="U15">
        <v>3</v>
      </c>
    </row>
    <row r="16" spans="1:25" x14ac:dyDescent="0.2">
      <c r="A16" s="7">
        <v>38163</v>
      </c>
      <c r="B16" s="30">
        <v>2004</v>
      </c>
      <c r="C16">
        <v>1</v>
      </c>
      <c r="D16">
        <v>13</v>
      </c>
      <c r="E16" t="s">
        <v>33</v>
      </c>
      <c r="F16" t="s">
        <v>17</v>
      </c>
      <c r="G16" t="s">
        <v>21</v>
      </c>
      <c r="H16">
        <v>35</v>
      </c>
      <c r="P16">
        <v>12</v>
      </c>
      <c r="S16">
        <f t="shared" si="0"/>
        <v>47</v>
      </c>
      <c r="T16">
        <v>2</v>
      </c>
      <c r="U16">
        <v>4.2</v>
      </c>
      <c r="W16">
        <v>7</v>
      </c>
    </row>
    <row r="17" spans="1:23" x14ac:dyDescent="0.2">
      <c r="A17" s="7">
        <v>38163</v>
      </c>
      <c r="B17" s="30">
        <v>2004</v>
      </c>
      <c r="C17">
        <v>2</v>
      </c>
      <c r="D17">
        <v>13</v>
      </c>
      <c r="E17" t="s">
        <v>33</v>
      </c>
      <c r="F17" t="s">
        <v>17</v>
      </c>
      <c r="G17" t="s">
        <v>21</v>
      </c>
      <c r="S17">
        <f t="shared" si="0"/>
        <v>0</v>
      </c>
      <c r="T17">
        <v>0</v>
      </c>
    </row>
    <row r="18" spans="1:23" x14ac:dyDescent="0.2">
      <c r="A18" s="7">
        <v>38163</v>
      </c>
      <c r="B18" s="30">
        <v>2004</v>
      </c>
      <c r="C18">
        <v>3</v>
      </c>
      <c r="D18">
        <v>13</v>
      </c>
      <c r="E18" t="s">
        <v>33</v>
      </c>
      <c r="F18" t="s">
        <v>14</v>
      </c>
      <c r="G18" t="s">
        <v>21</v>
      </c>
      <c r="H18">
        <v>14</v>
      </c>
      <c r="I18">
        <v>1</v>
      </c>
      <c r="S18">
        <f t="shared" si="0"/>
        <v>15</v>
      </c>
      <c r="T18">
        <v>2</v>
      </c>
      <c r="U18">
        <v>3.6</v>
      </c>
    </row>
    <row r="19" spans="1:23" x14ac:dyDescent="0.2">
      <c r="A19" s="7">
        <v>38163</v>
      </c>
      <c r="B19" s="30">
        <v>2004</v>
      </c>
      <c r="C19">
        <v>4</v>
      </c>
      <c r="D19">
        <v>13</v>
      </c>
      <c r="E19" t="s">
        <v>33</v>
      </c>
      <c r="F19" t="s">
        <v>14</v>
      </c>
      <c r="G19" t="s">
        <v>21</v>
      </c>
      <c r="H19">
        <v>13</v>
      </c>
      <c r="S19">
        <f t="shared" si="0"/>
        <v>13</v>
      </c>
      <c r="T19">
        <v>1</v>
      </c>
      <c r="U19">
        <v>3.6</v>
      </c>
    </row>
    <row r="20" spans="1:23" x14ac:dyDescent="0.2">
      <c r="A20" s="7">
        <v>38253</v>
      </c>
      <c r="B20" s="30">
        <v>2004</v>
      </c>
      <c r="C20">
        <v>1</v>
      </c>
      <c r="D20">
        <v>14</v>
      </c>
      <c r="E20" t="s">
        <v>34</v>
      </c>
      <c r="F20" t="s">
        <v>17</v>
      </c>
      <c r="G20" t="s">
        <v>21</v>
      </c>
      <c r="H20">
        <v>133</v>
      </c>
      <c r="J20">
        <v>1</v>
      </c>
      <c r="K20">
        <v>1</v>
      </c>
      <c r="P20">
        <v>5</v>
      </c>
      <c r="S20">
        <f t="shared" si="0"/>
        <v>140</v>
      </c>
      <c r="T20">
        <v>4</v>
      </c>
      <c r="U20">
        <f>270/133</f>
        <v>2.030075187969925</v>
      </c>
      <c r="W20">
        <v>5</v>
      </c>
    </row>
    <row r="21" spans="1:23" x14ac:dyDescent="0.2">
      <c r="A21" s="7">
        <v>38253</v>
      </c>
      <c r="B21" s="30">
        <v>2004</v>
      </c>
      <c r="C21">
        <v>2</v>
      </c>
      <c r="D21">
        <v>14</v>
      </c>
      <c r="E21" t="s">
        <v>34</v>
      </c>
      <c r="F21" t="s">
        <v>17</v>
      </c>
      <c r="G21" t="s">
        <v>21</v>
      </c>
      <c r="H21">
        <v>124</v>
      </c>
      <c r="P21">
        <v>2</v>
      </c>
      <c r="S21">
        <f t="shared" si="0"/>
        <v>126</v>
      </c>
      <c r="T21">
        <v>2</v>
      </c>
      <c r="U21">
        <f>210/124</f>
        <v>1.6935483870967742</v>
      </c>
      <c r="W21">
        <v>5</v>
      </c>
    </row>
    <row r="22" spans="1:23" x14ac:dyDescent="0.2">
      <c r="A22" s="7">
        <v>38253</v>
      </c>
      <c r="B22" s="30">
        <v>2004</v>
      </c>
      <c r="C22">
        <v>3</v>
      </c>
      <c r="D22">
        <v>17.5</v>
      </c>
      <c r="E22" t="s">
        <v>34</v>
      </c>
      <c r="F22" t="s">
        <v>14</v>
      </c>
      <c r="G22" t="s">
        <v>21</v>
      </c>
      <c r="H22">
        <v>78</v>
      </c>
      <c r="K22">
        <v>1</v>
      </c>
      <c r="P22">
        <v>3</v>
      </c>
      <c r="S22">
        <f t="shared" si="0"/>
        <v>82</v>
      </c>
      <c r="T22">
        <v>3</v>
      </c>
      <c r="U22">
        <f>210/78</f>
        <v>2.6923076923076925</v>
      </c>
      <c r="W22">
        <v>5</v>
      </c>
    </row>
    <row r="23" spans="1:23" x14ac:dyDescent="0.2">
      <c r="A23" s="7">
        <v>38253</v>
      </c>
      <c r="B23" s="30">
        <v>2004</v>
      </c>
      <c r="C23">
        <v>4</v>
      </c>
      <c r="D23">
        <v>17.5</v>
      </c>
      <c r="E23" t="s">
        <v>34</v>
      </c>
      <c r="F23" t="s">
        <v>14</v>
      </c>
      <c r="G23" t="s">
        <v>21</v>
      </c>
      <c r="H23">
        <v>37</v>
      </c>
      <c r="P23">
        <v>2</v>
      </c>
      <c r="S23">
        <f t="shared" si="0"/>
        <v>39</v>
      </c>
      <c r="T23">
        <v>2</v>
      </c>
      <c r="U23">
        <f>70/37</f>
        <v>1.8918918918918919</v>
      </c>
      <c r="W23">
        <v>5</v>
      </c>
    </row>
    <row r="24" spans="1:23" x14ac:dyDescent="0.2">
      <c r="A24" s="7">
        <v>38540</v>
      </c>
      <c r="B24" s="30">
        <v>2005</v>
      </c>
      <c r="C24">
        <v>1</v>
      </c>
      <c r="D24">
        <v>15</v>
      </c>
      <c r="E24" t="s">
        <v>49</v>
      </c>
      <c r="F24" t="s">
        <v>17</v>
      </c>
      <c r="G24" t="s">
        <v>21</v>
      </c>
      <c r="H24">
        <v>70</v>
      </c>
      <c r="K24">
        <v>2</v>
      </c>
      <c r="L24">
        <v>3</v>
      </c>
      <c r="P24">
        <v>2</v>
      </c>
      <c r="S24">
        <f t="shared" si="0"/>
        <v>77</v>
      </c>
      <c r="T24">
        <v>4</v>
      </c>
      <c r="U24">
        <f>250/70</f>
        <v>3.5714285714285716</v>
      </c>
      <c r="V24">
        <f>28/3</f>
        <v>9.3333333333333339</v>
      </c>
      <c r="W24">
        <v>2.5</v>
      </c>
    </row>
    <row r="25" spans="1:23" x14ac:dyDescent="0.2">
      <c r="A25" s="7">
        <v>38540</v>
      </c>
      <c r="B25" s="30">
        <v>2005</v>
      </c>
      <c r="C25">
        <v>2</v>
      </c>
      <c r="D25">
        <v>15</v>
      </c>
      <c r="E25" t="s">
        <v>49</v>
      </c>
      <c r="F25" t="s">
        <v>17</v>
      </c>
      <c r="G25" t="s">
        <v>21</v>
      </c>
      <c r="H25">
        <v>101</v>
      </c>
      <c r="P25">
        <v>2</v>
      </c>
      <c r="S25">
        <f t="shared" si="0"/>
        <v>103</v>
      </c>
      <c r="T25">
        <v>2</v>
      </c>
      <c r="U25">
        <f>410/101</f>
        <v>4.0594059405940595</v>
      </c>
      <c r="W25">
        <v>7.5</v>
      </c>
    </row>
    <row r="26" spans="1:23" x14ac:dyDescent="0.2">
      <c r="A26" s="7">
        <v>38540</v>
      </c>
      <c r="B26" s="30">
        <v>2005</v>
      </c>
      <c r="C26">
        <v>3</v>
      </c>
      <c r="D26">
        <v>15</v>
      </c>
      <c r="E26" t="s">
        <v>49</v>
      </c>
      <c r="F26" t="s">
        <v>14</v>
      </c>
      <c r="G26" t="s">
        <v>21</v>
      </c>
      <c r="H26">
        <v>25</v>
      </c>
      <c r="J26">
        <v>7</v>
      </c>
      <c r="P26">
        <v>4</v>
      </c>
      <c r="S26">
        <f t="shared" si="0"/>
        <v>36</v>
      </c>
      <c r="T26">
        <v>3</v>
      </c>
      <c r="U26">
        <f>85/25</f>
        <v>3.4</v>
      </c>
      <c r="W26">
        <v>5</v>
      </c>
    </row>
    <row r="27" spans="1:23" x14ac:dyDescent="0.2">
      <c r="A27" s="7">
        <v>38629</v>
      </c>
      <c r="B27" s="30">
        <v>2005</v>
      </c>
      <c r="C27">
        <v>1</v>
      </c>
      <c r="D27">
        <v>16</v>
      </c>
      <c r="E27" t="s">
        <v>34</v>
      </c>
      <c r="F27" t="s">
        <v>17</v>
      </c>
      <c r="G27" t="s">
        <v>21</v>
      </c>
      <c r="H27">
        <v>3</v>
      </c>
      <c r="L27">
        <v>3</v>
      </c>
      <c r="P27">
        <v>3</v>
      </c>
      <c r="S27">
        <f t="shared" si="0"/>
        <v>9</v>
      </c>
      <c r="T27">
        <v>3</v>
      </c>
      <c r="U27">
        <v>1.55</v>
      </c>
      <c r="V27">
        <v>21.66</v>
      </c>
      <c r="W27">
        <v>8.33</v>
      </c>
    </row>
    <row r="28" spans="1:23" x14ac:dyDescent="0.2">
      <c r="A28" s="7">
        <v>38629</v>
      </c>
      <c r="B28" s="30">
        <v>2005</v>
      </c>
      <c r="C28">
        <v>2</v>
      </c>
      <c r="D28">
        <v>16</v>
      </c>
      <c r="E28" t="s">
        <v>34</v>
      </c>
      <c r="F28" t="s">
        <v>17</v>
      </c>
      <c r="G28" t="s">
        <v>21</v>
      </c>
      <c r="H28">
        <v>153</v>
      </c>
      <c r="P28">
        <v>1</v>
      </c>
      <c r="S28">
        <f t="shared" si="0"/>
        <v>154</v>
      </c>
      <c r="T28">
        <v>2</v>
      </c>
      <c r="U28">
        <v>2.4500000000000002</v>
      </c>
      <c r="W28">
        <v>5</v>
      </c>
    </row>
    <row r="29" spans="1:23" x14ac:dyDescent="0.2">
      <c r="A29" s="7">
        <v>38629</v>
      </c>
      <c r="B29" s="30">
        <v>2005</v>
      </c>
      <c r="C29">
        <v>3</v>
      </c>
      <c r="D29">
        <v>16</v>
      </c>
      <c r="E29" t="s">
        <v>34</v>
      </c>
      <c r="F29" t="s">
        <v>14</v>
      </c>
      <c r="G29" t="s">
        <v>21</v>
      </c>
      <c r="H29">
        <v>123</v>
      </c>
      <c r="L29">
        <v>1</v>
      </c>
      <c r="S29">
        <f t="shared" si="0"/>
        <v>124</v>
      </c>
      <c r="T29">
        <v>2</v>
      </c>
      <c r="U29">
        <v>4.0599999999999996</v>
      </c>
      <c r="V29">
        <v>5</v>
      </c>
      <c r="W29">
        <v>5</v>
      </c>
    </row>
    <row r="30" spans="1:23" x14ac:dyDescent="0.2">
      <c r="A30" s="7">
        <v>38629</v>
      </c>
      <c r="B30" s="30">
        <v>2005</v>
      </c>
      <c r="C30">
        <v>4</v>
      </c>
      <c r="D30">
        <v>16</v>
      </c>
      <c r="E30" t="s">
        <v>34</v>
      </c>
      <c r="F30" t="s">
        <v>14</v>
      </c>
      <c r="G30" t="s">
        <v>21</v>
      </c>
      <c r="H30">
        <v>161</v>
      </c>
      <c r="P30">
        <v>2</v>
      </c>
      <c r="S30">
        <f t="shared" si="0"/>
        <v>163</v>
      </c>
      <c r="T30">
        <v>2</v>
      </c>
      <c r="U30">
        <v>2.82</v>
      </c>
      <c r="W30">
        <v>5</v>
      </c>
    </row>
    <row r="31" spans="1:23" x14ac:dyDescent="0.2">
      <c r="A31" s="7">
        <v>38840</v>
      </c>
      <c r="B31" s="30">
        <v>2006</v>
      </c>
      <c r="C31">
        <v>1</v>
      </c>
      <c r="D31">
        <v>15</v>
      </c>
      <c r="E31" t="s">
        <v>33</v>
      </c>
      <c r="F31" t="s">
        <v>17</v>
      </c>
      <c r="G31" t="s">
        <v>21</v>
      </c>
      <c r="H31">
        <v>68</v>
      </c>
      <c r="S31">
        <f t="shared" si="0"/>
        <v>68</v>
      </c>
      <c r="T31">
        <v>1</v>
      </c>
      <c r="U31">
        <v>2.94</v>
      </c>
    </row>
    <row r="32" spans="1:23" x14ac:dyDescent="0.2">
      <c r="A32" s="7">
        <v>38840</v>
      </c>
      <c r="B32" s="30">
        <v>2006</v>
      </c>
      <c r="C32">
        <v>2</v>
      </c>
      <c r="D32">
        <v>15</v>
      </c>
      <c r="E32" t="s">
        <v>33</v>
      </c>
      <c r="F32" t="s">
        <v>17</v>
      </c>
      <c r="G32" t="s">
        <v>21</v>
      </c>
      <c r="H32">
        <v>4</v>
      </c>
      <c r="L32">
        <v>1</v>
      </c>
      <c r="S32">
        <f t="shared" si="0"/>
        <v>5</v>
      </c>
      <c r="T32">
        <v>2</v>
      </c>
      <c r="U32">
        <v>2.5</v>
      </c>
      <c r="V32">
        <v>10</v>
      </c>
    </row>
    <row r="33" spans="1:25" x14ac:dyDescent="0.2">
      <c r="A33" s="7">
        <v>38840</v>
      </c>
      <c r="B33" s="30">
        <v>2006</v>
      </c>
      <c r="C33">
        <v>3</v>
      </c>
      <c r="D33">
        <v>13</v>
      </c>
      <c r="E33" t="s">
        <v>33</v>
      </c>
      <c r="F33" t="s">
        <v>14</v>
      </c>
      <c r="G33" t="s">
        <v>21</v>
      </c>
      <c r="H33">
        <v>373</v>
      </c>
      <c r="I33">
        <v>1</v>
      </c>
      <c r="J33">
        <v>1</v>
      </c>
      <c r="S33">
        <f t="shared" si="0"/>
        <v>375</v>
      </c>
      <c r="T33">
        <v>3</v>
      </c>
      <c r="U33">
        <v>2.27</v>
      </c>
    </row>
    <row r="34" spans="1:25" x14ac:dyDescent="0.2">
      <c r="A34" s="7">
        <v>38840</v>
      </c>
      <c r="B34" s="30">
        <v>2006</v>
      </c>
      <c r="C34">
        <v>4</v>
      </c>
      <c r="D34">
        <v>6</v>
      </c>
      <c r="E34" t="s">
        <v>33</v>
      </c>
      <c r="F34" t="s">
        <v>14</v>
      </c>
      <c r="G34" t="s">
        <v>21</v>
      </c>
      <c r="H34">
        <v>3</v>
      </c>
      <c r="S34">
        <f t="shared" si="0"/>
        <v>3</v>
      </c>
      <c r="T34">
        <v>1</v>
      </c>
      <c r="U34">
        <v>2.16</v>
      </c>
    </row>
    <row r="35" spans="1:25" x14ac:dyDescent="0.2">
      <c r="A35" s="7">
        <v>39028</v>
      </c>
      <c r="B35" s="30">
        <v>2006</v>
      </c>
      <c r="C35">
        <v>1</v>
      </c>
      <c r="D35">
        <v>17</v>
      </c>
      <c r="E35" t="s">
        <v>34</v>
      </c>
      <c r="F35" t="s">
        <v>17</v>
      </c>
      <c r="G35" t="s">
        <v>21</v>
      </c>
      <c r="H35">
        <v>92</v>
      </c>
      <c r="J35">
        <v>1</v>
      </c>
      <c r="L35">
        <v>1</v>
      </c>
      <c r="P35">
        <v>2</v>
      </c>
      <c r="S35">
        <f t="shared" si="0"/>
        <v>96</v>
      </c>
      <c r="T35">
        <v>4</v>
      </c>
      <c r="U35" s="8">
        <f>350/92</f>
        <v>3.8043478260869565</v>
      </c>
      <c r="V35">
        <v>5</v>
      </c>
      <c r="W35">
        <v>10</v>
      </c>
    </row>
    <row r="36" spans="1:25" x14ac:dyDescent="0.2">
      <c r="A36" s="7">
        <v>39028</v>
      </c>
      <c r="B36" s="30">
        <v>2006</v>
      </c>
      <c r="C36">
        <v>2</v>
      </c>
      <c r="D36">
        <v>19.5</v>
      </c>
      <c r="E36" t="s">
        <v>34</v>
      </c>
      <c r="F36" t="s">
        <v>17</v>
      </c>
      <c r="G36" t="s">
        <v>21</v>
      </c>
      <c r="H36">
        <v>102</v>
      </c>
      <c r="J36">
        <v>1</v>
      </c>
      <c r="P36">
        <v>2</v>
      </c>
      <c r="S36">
        <f t="shared" si="0"/>
        <v>105</v>
      </c>
      <c r="T36">
        <v>3</v>
      </c>
      <c r="U36" s="8">
        <f>220/102</f>
        <v>2.1568627450980391</v>
      </c>
      <c r="W36">
        <v>2.5</v>
      </c>
    </row>
    <row r="37" spans="1:25" x14ac:dyDescent="0.2">
      <c r="A37" s="7">
        <v>39028</v>
      </c>
      <c r="B37" s="30">
        <v>2006</v>
      </c>
      <c r="C37">
        <v>3</v>
      </c>
      <c r="D37">
        <v>19.5</v>
      </c>
      <c r="E37" t="s">
        <v>34</v>
      </c>
      <c r="F37" t="s">
        <v>14</v>
      </c>
      <c r="G37" t="s">
        <v>21</v>
      </c>
      <c r="H37">
        <v>68</v>
      </c>
      <c r="J37">
        <v>5</v>
      </c>
      <c r="S37">
        <f t="shared" si="0"/>
        <v>73</v>
      </c>
      <c r="T37">
        <v>2</v>
      </c>
      <c r="U37" s="8">
        <f>290/68</f>
        <v>4.2647058823529411</v>
      </c>
    </row>
    <row r="38" spans="1:25" x14ac:dyDescent="0.2">
      <c r="A38" s="7">
        <v>39028</v>
      </c>
      <c r="B38" s="30">
        <v>2006</v>
      </c>
      <c r="C38">
        <v>4</v>
      </c>
      <c r="D38">
        <v>19.5</v>
      </c>
      <c r="E38" t="s">
        <v>34</v>
      </c>
      <c r="F38" t="s">
        <v>14</v>
      </c>
      <c r="G38" t="s">
        <v>21</v>
      </c>
      <c r="H38">
        <v>355</v>
      </c>
      <c r="J38">
        <v>1</v>
      </c>
      <c r="S38">
        <f t="shared" si="0"/>
        <v>356</v>
      </c>
      <c r="T38">
        <v>2</v>
      </c>
      <c r="U38" s="8">
        <f>450/355</f>
        <v>1.267605633802817</v>
      </c>
    </row>
    <row r="39" spans="1:25" x14ac:dyDescent="0.2">
      <c r="A39" s="7">
        <v>39386</v>
      </c>
      <c r="B39" s="30">
        <v>2007</v>
      </c>
      <c r="C39">
        <v>1</v>
      </c>
      <c r="D39">
        <v>20.5</v>
      </c>
      <c r="E39" t="s">
        <v>34</v>
      </c>
      <c r="F39" t="s">
        <v>17</v>
      </c>
      <c r="G39" t="s">
        <v>21</v>
      </c>
      <c r="H39">
        <v>325</v>
      </c>
      <c r="P39">
        <v>1</v>
      </c>
      <c r="S39">
        <v>133</v>
      </c>
      <c r="T39">
        <v>2</v>
      </c>
      <c r="U39" s="8">
        <v>2.4</v>
      </c>
      <c r="W39">
        <v>5</v>
      </c>
    </row>
    <row r="40" spans="1:25" x14ac:dyDescent="0.2">
      <c r="A40" s="7">
        <v>39386</v>
      </c>
      <c r="B40" s="30">
        <v>2007</v>
      </c>
      <c r="C40">
        <v>2</v>
      </c>
      <c r="D40">
        <v>20.5</v>
      </c>
      <c r="E40" t="s">
        <v>34</v>
      </c>
      <c r="F40" t="s">
        <v>17</v>
      </c>
      <c r="G40" t="s">
        <v>21</v>
      </c>
      <c r="H40">
        <v>300</v>
      </c>
      <c r="P40">
        <v>1</v>
      </c>
      <c r="S40">
        <v>153</v>
      </c>
      <c r="T40">
        <v>2</v>
      </c>
      <c r="U40" s="8">
        <v>1.96</v>
      </c>
      <c r="W40">
        <v>1</v>
      </c>
    </row>
    <row r="41" spans="1:25" x14ac:dyDescent="0.2">
      <c r="A41" s="7">
        <v>39386</v>
      </c>
      <c r="B41" s="30">
        <v>2007</v>
      </c>
      <c r="C41">
        <v>3</v>
      </c>
      <c r="D41">
        <v>20.5</v>
      </c>
      <c r="E41" t="s">
        <v>34</v>
      </c>
      <c r="F41" t="s">
        <v>14</v>
      </c>
      <c r="G41" t="s">
        <v>21</v>
      </c>
      <c r="H41">
        <v>680</v>
      </c>
      <c r="P41">
        <v>2</v>
      </c>
      <c r="S41">
        <v>184</v>
      </c>
      <c r="T41">
        <v>2</v>
      </c>
      <c r="U41" s="8">
        <v>3.69</v>
      </c>
      <c r="W41">
        <v>12.5</v>
      </c>
    </row>
    <row r="42" spans="1:25" x14ac:dyDescent="0.2">
      <c r="A42" s="7">
        <v>39386</v>
      </c>
      <c r="B42" s="30">
        <v>2007</v>
      </c>
      <c r="C42">
        <v>4</v>
      </c>
      <c r="D42">
        <v>20.5</v>
      </c>
      <c r="E42" t="s">
        <v>34</v>
      </c>
      <c r="F42" t="s">
        <v>14</v>
      </c>
      <c r="G42" t="s">
        <v>21</v>
      </c>
      <c r="H42">
        <v>656</v>
      </c>
      <c r="S42">
        <v>236</v>
      </c>
      <c r="T42">
        <v>1</v>
      </c>
      <c r="U42" s="8">
        <v>2.77</v>
      </c>
      <c r="W42">
        <v>2.77</v>
      </c>
    </row>
    <row r="43" spans="1:25" x14ac:dyDescent="0.2">
      <c r="A43" s="7">
        <v>39752</v>
      </c>
      <c r="B43" s="30">
        <v>2008</v>
      </c>
      <c r="C43">
        <v>1</v>
      </c>
      <c r="D43">
        <v>20.5</v>
      </c>
      <c r="E43" t="s">
        <v>34</v>
      </c>
      <c r="F43" t="s">
        <v>17</v>
      </c>
      <c r="G43" t="s">
        <v>21</v>
      </c>
      <c r="H43">
        <v>133</v>
      </c>
      <c r="P43">
        <v>1</v>
      </c>
      <c r="S43">
        <f t="shared" si="0"/>
        <v>134</v>
      </c>
      <c r="T43">
        <v>2</v>
      </c>
      <c r="U43" s="8">
        <f>325/133</f>
        <v>2.4436090225563909</v>
      </c>
      <c r="W43">
        <v>5</v>
      </c>
    </row>
    <row r="44" spans="1:25" x14ac:dyDescent="0.2">
      <c r="A44" s="7">
        <v>39752</v>
      </c>
      <c r="B44" s="30">
        <v>2008</v>
      </c>
      <c r="C44">
        <v>2</v>
      </c>
      <c r="D44">
        <v>20.5</v>
      </c>
      <c r="E44" t="s">
        <v>34</v>
      </c>
      <c r="F44" t="s">
        <v>17</v>
      </c>
      <c r="G44" t="s">
        <v>21</v>
      </c>
      <c r="H44">
        <v>153</v>
      </c>
      <c r="P44">
        <v>1</v>
      </c>
      <c r="S44">
        <f t="shared" si="0"/>
        <v>154</v>
      </c>
      <c r="T44">
        <v>2</v>
      </c>
      <c r="U44" s="8">
        <f>300/153</f>
        <v>1.9607843137254901</v>
      </c>
      <c r="W44">
        <v>1</v>
      </c>
      <c r="Y44" t="s">
        <v>50</v>
      </c>
    </row>
    <row r="45" spans="1:25" x14ac:dyDescent="0.2">
      <c r="A45" s="7">
        <v>39752</v>
      </c>
      <c r="B45" s="30">
        <v>2008</v>
      </c>
      <c r="C45">
        <v>3</v>
      </c>
      <c r="D45">
        <v>20.5</v>
      </c>
      <c r="E45" t="s">
        <v>34</v>
      </c>
      <c r="F45" t="s">
        <v>14</v>
      </c>
      <c r="G45" t="s">
        <v>21</v>
      </c>
      <c r="H45">
        <v>184</v>
      </c>
      <c r="P45">
        <v>2</v>
      </c>
      <c r="S45">
        <f t="shared" si="0"/>
        <v>186</v>
      </c>
      <c r="T45">
        <v>2</v>
      </c>
      <c r="U45" s="8">
        <f>680/184</f>
        <v>3.6956521739130435</v>
      </c>
      <c r="W45">
        <v>12.5</v>
      </c>
    </row>
    <row r="46" spans="1:25" x14ac:dyDescent="0.2">
      <c r="A46" s="7">
        <v>39752</v>
      </c>
      <c r="B46" s="30">
        <v>2008</v>
      </c>
      <c r="C46">
        <v>4</v>
      </c>
      <c r="D46">
        <v>20.5</v>
      </c>
      <c r="E46" t="s">
        <v>34</v>
      </c>
      <c r="F46" t="s">
        <v>14</v>
      </c>
      <c r="G46" t="s">
        <v>21</v>
      </c>
      <c r="H46">
        <v>236</v>
      </c>
      <c r="S46">
        <f t="shared" si="0"/>
        <v>236</v>
      </c>
      <c r="T46">
        <v>1</v>
      </c>
      <c r="U46" s="8">
        <f>656/236</f>
        <v>2.7796610169491527</v>
      </c>
    </row>
    <row r="47" spans="1:25" x14ac:dyDescent="0.2">
      <c r="A47" s="7">
        <v>39744</v>
      </c>
      <c r="B47" s="30">
        <v>2008</v>
      </c>
      <c r="C47">
        <v>1</v>
      </c>
      <c r="D47">
        <v>23.5</v>
      </c>
      <c r="E47" t="s">
        <v>34</v>
      </c>
      <c r="F47" t="s">
        <v>17</v>
      </c>
      <c r="G47" t="s">
        <v>21</v>
      </c>
      <c r="H47">
        <v>72</v>
      </c>
      <c r="P47">
        <v>12</v>
      </c>
      <c r="S47">
        <f t="shared" si="0"/>
        <v>84</v>
      </c>
      <c r="T47">
        <v>2</v>
      </c>
      <c r="U47">
        <f>200/72</f>
        <v>2.7777777777777777</v>
      </c>
      <c r="Y47" s="25" t="s">
        <v>53</v>
      </c>
    </row>
    <row r="48" spans="1:25" x14ac:dyDescent="0.2">
      <c r="A48" s="7">
        <v>39744</v>
      </c>
      <c r="B48" s="30">
        <v>2008</v>
      </c>
      <c r="C48">
        <v>2</v>
      </c>
      <c r="D48">
        <v>24</v>
      </c>
      <c r="E48" t="s">
        <v>34</v>
      </c>
      <c r="F48" t="s">
        <v>17</v>
      </c>
      <c r="G48" t="s">
        <v>21</v>
      </c>
      <c r="H48">
        <v>12</v>
      </c>
      <c r="N48">
        <v>1</v>
      </c>
      <c r="P48">
        <v>5</v>
      </c>
      <c r="S48">
        <f t="shared" si="0"/>
        <v>18</v>
      </c>
      <c r="T48">
        <v>3</v>
      </c>
      <c r="U48">
        <f>37/12</f>
        <v>3.0833333333333335</v>
      </c>
    </row>
    <row r="49" spans="1:25" x14ac:dyDescent="0.2">
      <c r="A49" s="7">
        <v>39744</v>
      </c>
      <c r="B49" s="30">
        <v>2008</v>
      </c>
      <c r="C49">
        <v>3</v>
      </c>
      <c r="D49">
        <v>23.5</v>
      </c>
      <c r="E49" t="s">
        <v>34</v>
      </c>
      <c r="F49" t="s">
        <v>14</v>
      </c>
      <c r="G49" t="s">
        <v>21</v>
      </c>
      <c r="H49">
        <v>70</v>
      </c>
      <c r="P49">
        <v>67</v>
      </c>
      <c r="S49">
        <f t="shared" si="0"/>
        <v>137</v>
      </c>
      <c r="T49">
        <v>2</v>
      </c>
      <c r="U49">
        <f>250/70</f>
        <v>3.5714285714285716</v>
      </c>
    </row>
    <row r="50" spans="1:25" x14ac:dyDescent="0.2">
      <c r="A50" s="7">
        <v>39744</v>
      </c>
      <c r="B50" s="30">
        <v>2008</v>
      </c>
      <c r="C50">
        <v>4</v>
      </c>
      <c r="D50">
        <v>23.5</v>
      </c>
      <c r="E50" t="s">
        <v>34</v>
      </c>
      <c r="F50" t="s">
        <v>14</v>
      </c>
      <c r="G50" t="s">
        <v>21</v>
      </c>
      <c r="H50">
        <v>201</v>
      </c>
      <c r="P50">
        <v>11</v>
      </c>
      <c r="S50">
        <f t="shared" si="0"/>
        <v>212</v>
      </c>
      <c r="T50">
        <v>2</v>
      </c>
      <c r="U50">
        <f>460/201</f>
        <v>2.2885572139303481</v>
      </c>
    </row>
    <row r="51" spans="1:25" x14ac:dyDescent="0.2">
      <c r="A51" s="7">
        <v>40121</v>
      </c>
      <c r="B51" s="30">
        <v>2009</v>
      </c>
      <c r="C51">
        <v>1</v>
      </c>
      <c r="D51">
        <v>24</v>
      </c>
      <c r="E51" t="s">
        <v>34</v>
      </c>
      <c r="F51" t="s">
        <v>17</v>
      </c>
      <c r="G51" t="s">
        <v>21</v>
      </c>
      <c r="H51">
        <v>31</v>
      </c>
      <c r="P51">
        <v>59</v>
      </c>
      <c r="Q51">
        <v>1</v>
      </c>
      <c r="S51">
        <f t="shared" si="0"/>
        <v>91</v>
      </c>
      <c r="T51">
        <v>3</v>
      </c>
      <c r="U51">
        <f>155/31</f>
        <v>5</v>
      </c>
      <c r="W51">
        <f>265/59</f>
        <v>4.4915254237288131</v>
      </c>
    </row>
    <row r="52" spans="1:25" x14ac:dyDescent="0.2">
      <c r="A52" s="7">
        <v>40121</v>
      </c>
      <c r="B52" s="30">
        <v>2009</v>
      </c>
      <c r="C52">
        <v>2</v>
      </c>
      <c r="D52">
        <v>24</v>
      </c>
      <c r="E52" t="s">
        <v>34</v>
      </c>
      <c r="F52" t="s">
        <v>17</v>
      </c>
      <c r="G52" t="s">
        <v>21</v>
      </c>
      <c r="H52">
        <v>13</v>
      </c>
      <c r="N52">
        <v>6</v>
      </c>
      <c r="P52">
        <v>9</v>
      </c>
      <c r="S52">
        <f t="shared" si="0"/>
        <v>28</v>
      </c>
      <c r="T52">
        <v>3</v>
      </c>
      <c r="U52">
        <f>85/13</f>
        <v>6.5384615384615383</v>
      </c>
      <c r="W52">
        <f>40/9</f>
        <v>4.4444444444444446</v>
      </c>
    </row>
    <row r="53" spans="1:25" x14ac:dyDescent="0.2">
      <c r="A53" s="7">
        <v>40121</v>
      </c>
      <c r="B53" s="30">
        <v>2009</v>
      </c>
      <c r="C53">
        <v>3</v>
      </c>
      <c r="D53">
        <v>24</v>
      </c>
      <c r="E53" t="s">
        <v>34</v>
      </c>
      <c r="F53" t="s">
        <v>14</v>
      </c>
      <c r="G53" t="s">
        <v>21</v>
      </c>
      <c r="H53">
        <v>8</v>
      </c>
      <c r="J53">
        <v>1</v>
      </c>
      <c r="N53">
        <v>9</v>
      </c>
      <c r="P53">
        <v>2</v>
      </c>
      <c r="S53">
        <f t="shared" si="0"/>
        <v>20</v>
      </c>
      <c r="T53">
        <v>4</v>
      </c>
      <c r="U53">
        <v>5</v>
      </c>
      <c r="W53">
        <v>2.5</v>
      </c>
    </row>
    <row r="54" spans="1:25" x14ac:dyDescent="0.2">
      <c r="A54" s="7">
        <v>40469</v>
      </c>
      <c r="B54" s="30">
        <v>2010</v>
      </c>
      <c r="C54">
        <v>1</v>
      </c>
      <c r="D54">
        <v>26</v>
      </c>
      <c r="E54" t="s">
        <v>34</v>
      </c>
      <c r="F54" t="s">
        <v>17</v>
      </c>
      <c r="G54" t="s">
        <v>21</v>
      </c>
      <c r="H54">
        <v>93</v>
      </c>
      <c r="N54">
        <v>4</v>
      </c>
      <c r="S54">
        <f t="shared" si="0"/>
        <v>97</v>
      </c>
      <c r="T54">
        <v>2</v>
      </c>
      <c r="U54">
        <v>2.6</v>
      </c>
    </row>
    <row r="55" spans="1:25" x14ac:dyDescent="0.2">
      <c r="A55" s="7">
        <v>40469</v>
      </c>
      <c r="B55" s="30">
        <v>2010</v>
      </c>
      <c r="C55">
        <v>2</v>
      </c>
      <c r="D55">
        <v>26</v>
      </c>
      <c r="E55" t="s">
        <v>34</v>
      </c>
      <c r="F55" t="s">
        <v>17</v>
      </c>
      <c r="G55" t="s">
        <v>21</v>
      </c>
      <c r="H55">
        <v>7</v>
      </c>
      <c r="N55">
        <v>2</v>
      </c>
      <c r="P55">
        <v>2</v>
      </c>
      <c r="S55">
        <f t="shared" si="0"/>
        <v>11</v>
      </c>
      <c r="T55">
        <v>3</v>
      </c>
      <c r="U55">
        <v>3.4</v>
      </c>
      <c r="W55">
        <v>1</v>
      </c>
    </row>
    <row r="56" spans="1:25" x14ac:dyDescent="0.2">
      <c r="A56" s="7">
        <v>40469</v>
      </c>
      <c r="B56" s="30">
        <v>2010</v>
      </c>
      <c r="C56">
        <v>3</v>
      </c>
      <c r="D56">
        <v>26</v>
      </c>
      <c r="E56" t="s">
        <v>34</v>
      </c>
      <c r="F56" t="s">
        <v>14</v>
      </c>
      <c r="G56" t="s">
        <v>21</v>
      </c>
      <c r="H56">
        <v>140</v>
      </c>
      <c r="P56">
        <v>1</v>
      </c>
      <c r="S56">
        <f t="shared" si="0"/>
        <v>141</v>
      </c>
      <c r="T56">
        <v>2</v>
      </c>
      <c r="U56">
        <v>4</v>
      </c>
      <c r="W56">
        <v>5</v>
      </c>
    </row>
    <row r="57" spans="1:25" x14ac:dyDescent="0.2">
      <c r="A57" s="7">
        <v>40469</v>
      </c>
      <c r="B57" s="30">
        <v>2010</v>
      </c>
      <c r="C57">
        <v>4</v>
      </c>
      <c r="D57">
        <v>26</v>
      </c>
      <c r="E57" t="s">
        <v>34</v>
      </c>
      <c r="F57" t="s">
        <v>14</v>
      </c>
      <c r="G57" t="s">
        <v>21</v>
      </c>
      <c r="H57">
        <v>269</v>
      </c>
      <c r="N57">
        <v>1</v>
      </c>
      <c r="P57">
        <v>1</v>
      </c>
      <c r="Q57">
        <v>1</v>
      </c>
      <c r="S57">
        <f t="shared" si="0"/>
        <v>272</v>
      </c>
      <c r="T57">
        <v>4</v>
      </c>
      <c r="U57">
        <v>2.16</v>
      </c>
      <c r="W57">
        <v>5</v>
      </c>
    </row>
    <row r="58" spans="1:25" x14ac:dyDescent="0.2">
      <c r="A58" s="7">
        <v>40862</v>
      </c>
      <c r="B58" s="30">
        <v>2011</v>
      </c>
      <c r="C58">
        <v>1</v>
      </c>
      <c r="D58">
        <v>27.5</v>
      </c>
      <c r="E58" t="s">
        <v>34</v>
      </c>
      <c r="F58" t="s">
        <v>17</v>
      </c>
      <c r="G58" t="s">
        <v>21</v>
      </c>
      <c r="H58">
        <v>52</v>
      </c>
      <c r="N58">
        <v>1</v>
      </c>
      <c r="P58">
        <v>5</v>
      </c>
      <c r="S58">
        <f t="shared" si="0"/>
        <v>58</v>
      </c>
      <c r="T58">
        <v>3</v>
      </c>
      <c r="U58">
        <f>160/52</f>
        <v>3.0769230769230771</v>
      </c>
      <c r="W58">
        <v>5</v>
      </c>
      <c r="Y58">
        <f>4/2</f>
        <v>2</v>
      </c>
    </row>
    <row r="59" spans="1:25" x14ac:dyDescent="0.2">
      <c r="A59" s="7">
        <v>40862</v>
      </c>
      <c r="B59" s="30">
        <v>2011</v>
      </c>
      <c r="C59">
        <v>2</v>
      </c>
      <c r="D59">
        <v>27.5</v>
      </c>
      <c r="E59" t="s">
        <v>34</v>
      </c>
      <c r="F59" t="s">
        <v>17</v>
      </c>
      <c r="G59" t="s">
        <v>21</v>
      </c>
      <c r="H59">
        <v>40</v>
      </c>
      <c r="S59">
        <f t="shared" si="0"/>
        <v>40</v>
      </c>
      <c r="T59">
        <v>1</v>
      </c>
      <c r="U59">
        <f>40/18</f>
        <v>2.2222222222222223</v>
      </c>
      <c r="Y59">
        <v>5</v>
      </c>
    </row>
    <row r="60" spans="1:25" x14ac:dyDescent="0.2">
      <c r="A60" s="7">
        <v>40862</v>
      </c>
      <c r="B60" s="30">
        <v>2011</v>
      </c>
      <c r="C60">
        <v>3</v>
      </c>
      <c r="D60">
        <v>27.5</v>
      </c>
      <c r="E60" t="s">
        <v>34</v>
      </c>
      <c r="F60" t="s">
        <v>14</v>
      </c>
      <c r="G60" t="s">
        <v>21</v>
      </c>
      <c r="H60">
        <v>207</v>
      </c>
      <c r="L60">
        <v>2</v>
      </c>
      <c r="P60">
        <v>7</v>
      </c>
      <c r="S60">
        <f t="shared" si="0"/>
        <v>216</v>
      </c>
      <c r="T60">
        <v>3</v>
      </c>
      <c r="U60">
        <f>880/207</f>
        <v>4.2512077294685993</v>
      </c>
      <c r="V60">
        <v>7.5</v>
      </c>
      <c r="W60">
        <f>25/7</f>
        <v>3.5714285714285716</v>
      </c>
      <c r="Y60">
        <v>5</v>
      </c>
    </row>
    <row r="61" spans="1:25" x14ac:dyDescent="0.2">
      <c r="A61" s="7">
        <v>40862</v>
      </c>
      <c r="B61" s="30">
        <v>2011</v>
      </c>
      <c r="C61">
        <v>4</v>
      </c>
      <c r="D61">
        <v>27.5</v>
      </c>
      <c r="E61" t="s">
        <v>34</v>
      </c>
      <c r="F61" t="s">
        <v>14</v>
      </c>
      <c r="G61" t="s">
        <v>21</v>
      </c>
      <c r="H61">
        <v>260</v>
      </c>
      <c r="P61">
        <v>5</v>
      </c>
      <c r="S61">
        <f t="shared" si="0"/>
        <v>265</v>
      </c>
      <c r="T61">
        <v>2</v>
      </c>
      <c r="U61">
        <f>790/260</f>
        <v>3.0384615384615383</v>
      </c>
      <c r="W61">
        <f>18/5</f>
        <v>3.6</v>
      </c>
      <c r="Y61">
        <f>100/13</f>
        <v>7.6923076923076925</v>
      </c>
    </row>
    <row r="62" spans="1:25" x14ac:dyDescent="0.2">
      <c r="A62" s="7">
        <v>41183</v>
      </c>
      <c r="B62" s="30">
        <v>2012</v>
      </c>
      <c r="C62">
        <v>1</v>
      </c>
      <c r="D62">
        <v>20.5</v>
      </c>
      <c r="E62" t="s">
        <v>34</v>
      </c>
      <c r="F62" t="s">
        <v>17</v>
      </c>
      <c r="G62" t="s">
        <v>21</v>
      </c>
      <c r="H62">
        <v>253</v>
      </c>
      <c r="P62">
        <v>2</v>
      </c>
      <c r="R62">
        <v>3</v>
      </c>
      <c r="S62">
        <f t="shared" si="0"/>
        <v>258</v>
      </c>
      <c r="T62">
        <f t="shared" ref="T62:T65" si="1">SUM(H62:S62)</f>
        <v>516</v>
      </c>
      <c r="U62">
        <v>3</v>
      </c>
      <c r="V62">
        <f>460/253</f>
        <v>1.8181818181818181</v>
      </c>
    </row>
    <row r="63" spans="1:25" x14ac:dyDescent="0.2">
      <c r="A63" s="7">
        <v>41183</v>
      </c>
      <c r="B63" s="30">
        <v>2012</v>
      </c>
      <c r="C63">
        <v>2</v>
      </c>
      <c r="D63">
        <v>20.5</v>
      </c>
      <c r="E63" t="s">
        <v>34</v>
      </c>
      <c r="F63" t="s">
        <v>17</v>
      </c>
      <c r="G63" t="s">
        <v>21</v>
      </c>
      <c r="H63">
        <v>193</v>
      </c>
      <c r="P63">
        <v>1</v>
      </c>
      <c r="S63">
        <f t="shared" si="0"/>
        <v>194</v>
      </c>
      <c r="T63">
        <f t="shared" si="1"/>
        <v>388</v>
      </c>
      <c r="U63">
        <v>2</v>
      </c>
      <c r="V63">
        <f>300/193</f>
        <v>1.5544041450777202</v>
      </c>
    </row>
    <row r="64" spans="1:25" x14ac:dyDescent="0.2">
      <c r="A64" s="7">
        <v>41183</v>
      </c>
      <c r="B64" s="30">
        <v>2012</v>
      </c>
      <c r="C64">
        <v>3</v>
      </c>
      <c r="D64">
        <v>20.5</v>
      </c>
      <c r="E64" t="s">
        <v>34</v>
      </c>
      <c r="F64" t="s">
        <v>14</v>
      </c>
      <c r="G64" t="s">
        <v>21</v>
      </c>
      <c r="H64">
        <v>124</v>
      </c>
      <c r="P64">
        <v>2</v>
      </c>
      <c r="S64">
        <f t="shared" si="0"/>
        <v>126</v>
      </c>
      <c r="T64">
        <f t="shared" si="1"/>
        <v>252</v>
      </c>
      <c r="U64">
        <v>2</v>
      </c>
      <c r="V64">
        <f>440/124</f>
        <v>3.5483870967741935</v>
      </c>
    </row>
    <row r="65" spans="1:24" x14ac:dyDescent="0.2">
      <c r="A65" s="7">
        <v>41183</v>
      </c>
      <c r="B65" s="30">
        <v>2012</v>
      </c>
      <c r="C65">
        <v>4</v>
      </c>
      <c r="D65">
        <v>16.5</v>
      </c>
      <c r="E65" t="s">
        <v>34</v>
      </c>
      <c r="F65" t="s">
        <v>14</v>
      </c>
      <c r="G65" t="s">
        <v>21</v>
      </c>
      <c r="H65">
        <v>72</v>
      </c>
      <c r="P65">
        <v>13</v>
      </c>
      <c r="S65">
        <f t="shared" si="0"/>
        <v>85</v>
      </c>
      <c r="T65">
        <f t="shared" si="1"/>
        <v>170</v>
      </c>
      <c r="U65">
        <v>2</v>
      </c>
      <c r="V65">
        <f>348/72</f>
        <v>4.833333333333333</v>
      </c>
    </row>
    <row r="66" spans="1:24" x14ac:dyDescent="0.2">
      <c r="A66" s="7">
        <v>41575</v>
      </c>
      <c r="B66" s="30">
        <v>2013</v>
      </c>
      <c r="C66">
        <v>1</v>
      </c>
      <c r="D66">
        <v>26</v>
      </c>
      <c r="E66" t="s">
        <v>34</v>
      </c>
      <c r="F66" t="s">
        <v>17</v>
      </c>
      <c r="G66" t="s">
        <v>21</v>
      </c>
      <c r="H66">
        <v>4</v>
      </c>
      <c r="M66">
        <v>8</v>
      </c>
      <c r="S66">
        <f t="shared" si="0"/>
        <v>12</v>
      </c>
      <c r="T66">
        <v>2</v>
      </c>
      <c r="U66">
        <v>2.5</v>
      </c>
    </row>
    <row r="67" spans="1:24" x14ac:dyDescent="0.2">
      <c r="A67" s="7">
        <v>41575</v>
      </c>
      <c r="B67" s="30">
        <v>2013</v>
      </c>
      <c r="C67">
        <v>2</v>
      </c>
      <c r="D67">
        <v>26</v>
      </c>
      <c r="E67" t="s">
        <v>34</v>
      </c>
      <c r="F67" t="s">
        <v>17</v>
      </c>
      <c r="G67" t="s">
        <v>21</v>
      </c>
      <c r="H67">
        <v>4</v>
      </c>
      <c r="M67">
        <v>10</v>
      </c>
      <c r="S67">
        <f t="shared" si="0"/>
        <v>14</v>
      </c>
      <c r="T67">
        <v>2</v>
      </c>
      <c r="U67">
        <v>2.5</v>
      </c>
    </row>
    <row r="68" spans="1:24" x14ac:dyDescent="0.2">
      <c r="A68" s="7">
        <v>41575</v>
      </c>
      <c r="B68" s="30">
        <v>2013</v>
      </c>
      <c r="C68">
        <v>3</v>
      </c>
      <c r="D68">
        <v>26</v>
      </c>
      <c r="E68" t="s">
        <v>34</v>
      </c>
      <c r="F68" t="s">
        <v>14</v>
      </c>
      <c r="G68" t="s">
        <v>21</v>
      </c>
      <c r="H68">
        <v>46</v>
      </c>
      <c r="M68">
        <v>1</v>
      </c>
      <c r="S68">
        <f t="shared" si="0"/>
        <v>47</v>
      </c>
      <c r="T68">
        <v>2</v>
      </c>
      <c r="U68">
        <f>158/46</f>
        <v>3.4347826086956523</v>
      </c>
    </row>
    <row r="69" spans="1:24" x14ac:dyDescent="0.2">
      <c r="A69" s="7">
        <v>41575</v>
      </c>
      <c r="B69" s="30">
        <v>2013</v>
      </c>
      <c r="C69">
        <v>4</v>
      </c>
      <c r="D69">
        <v>26</v>
      </c>
      <c r="E69" t="s">
        <v>34</v>
      </c>
      <c r="F69" t="s">
        <v>14</v>
      </c>
      <c r="G69" t="s">
        <v>21</v>
      </c>
      <c r="H69">
        <v>79</v>
      </c>
      <c r="M69">
        <v>10</v>
      </c>
      <c r="Q69">
        <v>3</v>
      </c>
      <c r="S69">
        <f t="shared" si="0"/>
        <v>92</v>
      </c>
      <c r="T69">
        <v>3</v>
      </c>
      <c r="U69">
        <f>177/79</f>
        <v>2.240506329113924</v>
      </c>
      <c r="X69">
        <v>8.3000000000000007</v>
      </c>
    </row>
    <row r="70" spans="1:24" x14ac:dyDescent="0.2">
      <c r="A70" s="7">
        <v>41934</v>
      </c>
      <c r="B70" s="30">
        <v>2014</v>
      </c>
      <c r="C70">
        <v>1</v>
      </c>
      <c r="D70">
        <v>18</v>
      </c>
      <c r="E70" t="s">
        <v>34</v>
      </c>
      <c r="F70" t="s">
        <v>17</v>
      </c>
      <c r="G70" t="s">
        <v>21</v>
      </c>
      <c r="H70">
        <v>133</v>
      </c>
      <c r="M70">
        <v>4</v>
      </c>
      <c r="P70">
        <v>4</v>
      </c>
      <c r="S70">
        <f t="shared" ref="S70:S97" si="2">SUM(H70:R70)</f>
        <v>141</v>
      </c>
      <c r="T70">
        <v>3</v>
      </c>
      <c r="U70">
        <f>335/133</f>
        <v>2.518796992481203</v>
      </c>
      <c r="W70">
        <f>20/4</f>
        <v>5</v>
      </c>
    </row>
    <row r="71" spans="1:24" x14ac:dyDescent="0.2">
      <c r="A71" s="7">
        <v>41934</v>
      </c>
      <c r="B71" s="30">
        <v>2014</v>
      </c>
      <c r="C71">
        <v>2</v>
      </c>
      <c r="D71">
        <v>18</v>
      </c>
      <c r="E71" t="s">
        <v>34</v>
      </c>
      <c r="F71" t="s">
        <v>17</v>
      </c>
      <c r="G71" t="s">
        <v>21</v>
      </c>
      <c r="H71">
        <v>205</v>
      </c>
      <c r="M71">
        <v>6</v>
      </c>
      <c r="P71">
        <v>2</v>
      </c>
      <c r="S71">
        <f t="shared" si="2"/>
        <v>213</v>
      </c>
      <c r="T71">
        <v>3</v>
      </c>
      <c r="U71">
        <f>447/205</f>
        <v>2.1804878048780489</v>
      </c>
      <c r="W71">
        <f>3/2</f>
        <v>1.5</v>
      </c>
    </row>
    <row r="72" spans="1:24" x14ac:dyDescent="0.2">
      <c r="A72" s="7">
        <v>41934</v>
      </c>
      <c r="B72" s="30">
        <v>2014</v>
      </c>
      <c r="C72">
        <v>3</v>
      </c>
      <c r="D72">
        <v>18</v>
      </c>
      <c r="E72" t="s">
        <v>34</v>
      </c>
      <c r="F72" t="s">
        <v>14</v>
      </c>
      <c r="G72" t="s">
        <v>21</v>
      </c>
      <c r="H72">
        <v>105</v>
      </c>
      <c r="P72">
        <v>4</v>
      </c>
      <c r="S72">
        <f t="shared" si="2"/>
        <v>109</v>
      </c>
      <c r="T72">
        <v>2</v>
      </c>
      <c r="U72">
        <f>425/105</f>
        <v>4.0476190476190474</v>
      </c>
      <c r="W72">
        <f>35/4</f>
        <v>8.75</v>
      </c>
    </row>
    <row r="73" spans="1:24" x14ac:dyDescent="0.2">
      <c r="A73" s="7">
        <v>41934</v>
      </c>
      <c r="B73" s="30">
        <v>2014</v>
      </c>
      <c r="C73">
        <v>4</v>
      </c>
      <c r="D73">
        <v>18</v>
      </c>
      <c r="E73" t="s">
        <v>34</v>
      </c>
      <c r="F73" t="s">
        <v>14</v>
      </c>
      <c r="G73" t="s">
        <v>21</v>
      </c>
      <c r="H73">
        <v>170</v>
      </c>
      <c r="P73">
        <v>2</v>
      </c>
      <c r="S73">
        <f t="shared" si="2"/>
        <v>172</v>
      </c>
      <c r="T73">
        <v>2</v>
      </c>
      <c r="U73">
        <f>728/170</f>
        <v>4.2823529411764705</v>
      </c>
      <c r="W73">
        <f>15/2</f>
        <v>7.5</v>
      </c>
    </row>
    <row r="74" spans="1:24" x14ac:dyDescent="0.2">
      <c r="A74" s="7">
        <v>42298</v>
      </c>
      <c r="B74" s="30">
        <v>2015</v>
      </c>
      <c r="C74">
        <v>1</v>
      </c>
      <c r="D74">
        <v>12</v>
      </c>
      <c r="E74" t="s">
        <v>34</v>
      </c>
      <c r="F74" t="s">
        <v>17</v>
      </c>
      <c r="G74" t="s">
        <v>21</v>
      </c>
      <c r="H74">
        <v>56</v>
      </c>
      <c r="S74">
        <f t="shared" si="2"/>
        <v>56</v>
      </c>
      <c r="T74">
        <v>1</v>
      </c>
      <c r="U74" s="8">
        <f>100/56</f>
        <v>1.7857142857142858</v>
      </c>
    </row>
    <row r="75" spans="1:24" x14ac:dyDescent="0.2">
      <c r="A75" s="7">
        <v>42298</v>
      </c>
      <c r="B75" s="30">
        <v>2015</v>
      </c>
      <c r="C75">
        <v>2</v>
      </c>
      <c r="D75">
        <v>12</v>
      </c>
      <c r="E75" t="s">
        <v>34</v>
      </c>
      <c r="F75" t="s">
        <v>17</v>
      </c>
      <c r="G75" t="s">
        <v>21</v>
      </c>
      <c r="H75">
        <v>47</v>
      </c>
      <c r="J75">
        <v>1</v>
      </c>
      <c r="S75">
        <f t="shared" si="2"/>
        <v>48</v>
      </c>
      <c r="T75">
        <v>2</v>
      </c>
      <c r="U75" s="8">
        <f>80/47</f>
        <v>1.7021276595744681</v>
      </c>
    </row>
    <row r="76" spans="1:24" x14ac:dyDescent="0.2">
      <c r="A76" s="7">
        <v>42298</v>
      </c>
      <c r="B76" s="30">
        <v>2015</v>
      </c>
      <c r="C76">
        <v>3</v>
      </c>
      <c r="D76">
        <v>12</v>
      </c>
      <c r="E76" t="s">
        <v>34</v>
      </c>
      <c r="F76" t="s">
        <v>14</v>
      </c>
      <c r="G76" t="s">
        <v>21</v>
      </c>
      <c r="H76">
        <v>17</v>
      </c>
      <c r="S76">
        <f t="shared" si="2"/>
        <v>17</v>
      </c>
      <c r="T76">
        <v>1</v>
      </c>
      <c r="U76" s="8">
        <f>25/17</f>
        <v>1.4705882352941178</v>
      </c>
    </row>
    <row r="77" spans="1:24" x14ac:dyDescent="0.2">
      <c r="A77" s="7">
        <v>42298</v>
      </c>
      <c r="B77" s="30">
        <v>2015</v>
      </c>
      <c r="C77">
        <v>4</v>
      </c>
      <c r="D77">
        <v>12</v>
      </c>
      <c r="E77" t="s">
        <v>34</v>
      </c>
      <c r="F77" t="s">
        <v>14</v>
      </c>
      <c r="G77" t="s">
        <v>21</v>
      </c>
      <c r="H77">
        <v>4</v>
      </c>
      <c r="S77">
        <f t="shared" si="2"/>
        <v>4</v>
      </c>
      <c r="T77">
        <v>1</v>
      </c>
      <c r="U77" s="8">
        <f>10/4</f>
        <v>2.5</v>
      </c>
    </row>
    <row r="78" spans="1:24" x14ac:dyDescent="0.2">
      <c r="A78" s="7">
        <v>42500</v>
      </c>
      <c r="B78" s="30">
        <v>2016</v>
      </c>
      <c r="C78">
        <v>1</v>
      </c>
      <c r="D78">
        <v>1.25</v>
      </c>
      <c r="E78" t="s">
        <v>33</v>
      </c>
      <c r="F78" t="s">
        <v>17</v>
      </c>
      <c r="G78" t="s">
        <v>21</v>
      </c>
      <c r="H78">
        <v>44</v>
      </c>
      <c r="S78">
        <f t="shared" si="2"/>
        <v>44</v>
      </c>
      <c r="T78">
        <v>1</v>
      </c>
      <c r="U78">
        <f>100/44</f>
        <v>2.2727272727272729</v>
      </c>
    </row>
    <row r="79" spans="1:24" x14ac:dyDescent="0.2">
      <c r="A79" s="7">
        <v>42500</v>
      </c>
      <c r="B79" s="30">
        <v>2016</v>
      </c>
      <c r="C79">
        <v>2</v>
      </c>
      <c r="D79">
        <v>2.25</v>
      </c>
      <c r="E79" t="s">
        <v>33</v>
      </c>
      <c r="F79" t="s">
        <v>17</v>
      </c>
      <c r="G79" t="s">
        <v>21</v>
      </c>
      <c r="H79">
        <v>9</v>
      </c>
      <c r="S79">
        <f t="shared" si="2"/>
        <v>9</v>
      </c>
      <c r="T79">
        <v>1</v>
      </c>
      <c r="U79">
        <f>15/9</f>
        <v>1.6666666666666667</v>
      </c>
    </row>
    <row r="80" spans="1:24" x14ac:dyDescent="0.2">
      <c r="A80" s="7">
        <v>42500</v>
      </c>
      <c r="B80" s="30">
        <v>2016</v>
      </c>
      <c r="C80">
        <v>3</v>
      </c>
      <c r="D80">
        <v>2.25</v>
      </c>
      <c r="E80" t="s">
        <v>33</v>
      </c>
      <c r="F80" t="s">
        <v>14</v>
      </c>
      <c r="G80" t="s">
        <v>21</v>
      </c>
      <c r="S80">
        <f t="shared" si="2"/>
        <v>0</v>
      </c>
      <c r="T80">
        <v>0</v>
      </c>
    </row>
    <row r="81" spans="1:23" x14ac:dyDescent="0.2">
      <c r="A81" s="7">
        <v>42500</v>
      </c>
      <c r="B81" s="30">
        <v>2016</v>
      </c>
      <c r="C81">
        <v>4</v>
      </c>
      <c r="D81">
        <v>1.75</v>
      </c>
      <c r="E81" t="s">
        <v>33</v>
      </c>
      <c r="F81" t="s">
        <v>14</v>
      </c>
      <c r="G81" t="s">
        <v>21</v>
      </c>
      <c r="H81">
        <v>201</v>
      </c>
      <c r="S81">
        <f t="shared" si="2"/>
        <v>201</v>
      </c>
      <c r="T81">
        <v>1</v>
      </c>
      <c r="U81">
        <f>315/201</f>
        <v>1.5671641791044777</v>
      </c>
    </row>
    <row r="82" spans="1:23" x14ac:dyDescent="0.2">
      <c r="A82" s="7">
        <v>42649</v>
      </c>
      <c r="B82" s="30">
        <v>2016</v>
      </c>
      <c r="C82">
        <v>1</v>
      </c>
      <c r="D82">
        <v>18</v>
      </c>
      <c r="E82" t="s">
        <v>34</v>
      </c>
      <c r="F82" t="s">
        <v>17</v>
      </c>
      <c r="G82" t="s">
        <v>21</v>
      </c>
      <c r="H82">
        <v>53</v>
      </c>
      <c r="M82">
        <v>2</v>
      </c>
      <c r="P82">
        <v>2</v>
      </c>
      <c r="S82">
        <f t="shared" si="2"/>
        <v>57</v>
      </c>
      <c r="T82">
        <v>3</v>
      </c>
      <c r="U82">
        <f>175/53</f>
        <v>3.3018867924528301</v>
      </c>
      <c r="W82">
        <f>5/2</f>
        <v>2.5</v>
      </c>
    </row>
    <row r="83" spans="1:23" x14ac:dyDescent="0.2">
      <c r="A83" s="7">
        <v>42649</v>
      </c>
      <c r="B83" s="30">
        <v>2016</v>
      </c>
      <c r="C83">
        <v>2</v>
      </c>
      <c r="D83">
        <v>18</v>
      </c>
      <c r="E83" t="s">
        <v>34</v>
      </c>
      <c r="F83" t="s">
        <v>17</v>
      </c>
      <c r="G83" t="s">
        <v>21</v>
      </c>
      <c r="H83">
        <v>138</v>
      </c>
      <c r="P83">
        <v>1</v>
      </c>
      <c r="S83">
        <f t="shared" si="2"/>
        <v>139</v>
      </c>
      <c r="T83">
        <v>2</v>
      </c>
      <c r="U83">
        <f>360/138</f>
        <v>2.6086956521739131</v>
      </c>
      <c r="W83">
        <f>5/1</f>
        <v>5</v>
      </c>
    </row>
    <row r="84" spans="1:23" x14ac:dyDescent="0.2">
      <c r="A84" s="7">
        <v>42649</v>
      </c>
      <c r="B84" s="30">
        <v>2016</v>
      </c>
      <c r="C84">
        <v>3</v>
      </c>
      <c r="D84">
        <v>18</v>
      </c>
      <c r="E84" t="s">
        <v>34</v>
      </c>
      <c r="F84" t="s">
        <v>14</v>
      </c>
      <c r="G84" t="s">
        <v>21</v>
      </c>
      <c r="H84">
        <v>119</v>
      </c>
      <c r="P84">
        <v>1</v>
      </c>
      <c r="S84">
        <f t="shared" si="2"/>
        <v>120</v>
      </c>
      <c r="T84">
        <v>2</v>
      </c>
      <c r="U84">
        <f>540/119</f>
        <v>4.53781512605042</v>
      </c>
      <c r="W84">
        <f>4/1</f>
        <v>4</v>
      </c>
    </row>
    <row r="85" spans="1:23" x14ac:dyDescent="0.2">
      <c r="A85" s="7">
        <v>42649</v>
      </c>
      <c r="B85" s="30">
        <v>2016</v>
      </c>
      <c r="C85">
        <v>4</v>
      </c>
      <c r="D85">
        <v>18</v>
      </c>
      <c r="E85" t="s">
        <v>34</v>
      </c>
      <c r="F85" t="s">
        <v>14</v>
      </c>
      <c r="G85" t="s">
        <v>21</v>
      </c>
      <c r="H85">
        <v>206</v>
      </c>
      <c r="M85">
        <v>2</v>
      </c>
      <c r="P85">
        <v>4</v>
      </c>
      <c r="S85">
        <f t="shared" si="2"/>
        <v>212</v>
      </c>
      <c r="T85">
        <v>3</v>
      </c>
      <c r="U85">
        <f>1045/206</f>
        <v>5.0728155339805827</v>
      </c>
      <c r="W85">
        <f>16/4</f>
        <v>4</v>
      </c>
    </row>
    <row r="86" spans="1:23" x14ac:dyDescent="0.2">
      <c r="A86" s="7">
        <v>42873</v>
      </c>
      <c r="B86" s="30">
        <v>2017</v>
      </c>
      <c r="C86">
        <v>1</v>
      </c>
      <c r="E86" t="s">
        <v>33</v>
      </c>
      <c r="F86" t="s">
        <v>17</v>
      </c>
      <c r="G86" t="s">
        <v>21</v>
      </c>
      <c r="H86">
        <v>13</v>
      </c>
      <c r="S86">
        <f t="shared" si="2"/>
        <v>13</v>
      </c>
      <c r="T86">
        <v>1</v>
      </c>
      <c r="U86">
        <v>8.6669999999999998</v>
      </c>
    </row>
    <row r="87" spans="1:23" x14ac:dyDescent="0.2">
      <c r="A87" s="7">
        <v>42873</v>
      </c>
      <c r="B87" s="30">
        <v>2017</v>
      </c>
      <c r="C87">
        <v>2</v>
      </c>
      <c r="E87" t="s">
        <v>33</v>
      </c>
      <c r="F87" t="s">
        <v>17</v>
      </c>
      <c r="G87" t="s">
        <v>21</v>
      </c>
      <c r="H87">
        <v>9</v>
      </c>
      <c r="L87">
        <v>1</v>
      </c>
      <c r="S87">
        <f t="shared" si="2"/>
        <v>10</v>
      </c>
      <c r="T87">
        <v>2</v>
      </c>
      <c r="U87">
        <v>5.5</v>
      </c>
      <c r="V87">
        <v>20</v>
      </c>
    </row>
    <row r="88" spans="1:23" x14ac:dyDescent="0.2">
      <c r="A88" s="7">
        <v>42873</v>
      </c>
      <c r="B88" s="30">
        <v>2017</v>
      </c>
      <c r="C88">
        <v>3</v>
      </c>
      <c r="E88" t="s">
        <v>33</v>
      </c>
      <c r="F88" t="s">
        <v>14</v>
      </c>
      <c r="G88" t="s">
        <v>21</v>
      </c>
      <c r="H88">
        <v>5</v>
      </c>
      <c r="S88">
        <f t="shared" si="2"/>
        <v>5</v>
      </c>
      <c r="T88">
        <v>1</v>
      </c>
      <c r="U88">
        <v>5</v>
      </c>
    </row>
    <row r="89" spans="1:23" x14ac:dyDescent="0.2">
      <c r="A89" s="7">
        <v>42873</v>
      </c>
      <c r="B89" s="30">
        <v>2017</v>
      </c>
      <c r="C89">
        <v>4</v>
      </c>
      <c r="E89" t="s">
        <v>33</v>
      </c>
      <c r="F89" t="s">
        <v>14</v>
      </c>
      <c r="G89" t="s">
        <v>21</v>
      </c>
      <c r="H89">
        <v>26</v>
      </c>
      <c r="S89">
        <f t="shared" si="2"/>
        <v>26</v>
      </c>
      <c r="T89">
        <v>1</v>
      </c>
      <c r="U89">
        <v>3.02</v>
      </c>
    </row>
    <row r="90" spans="1:23" x14ac:dyDescent="0.2">
      <c r="A90" s="7">
        <v>43230</v>
      </c>
      <c r="B90" s="30">
        <v>2018</v>
      </c>
      <c r="C90">
        <v>1</v>
      </c>
      <c r="D90">
        <v>14</v>
      </c>
      <c r="E90" t="s">
        <v>33</v>
      </c>
      <c r="F90" t="s">
        <v>17</v>
      </c>
      <c r="G90" t="s">
        <v>21</v>
      </c>
      <c r="H90">
        <v>6</v>
      </c>
      <c r="L90">
        <v>1</v>
      </c>
      <c r="S90">
        <f t="shared" si="2"/>
        <v>7</v>
      </c>
      <c r="T90">
        <v>1</v>
      </c>
      <c r="U90">
        <f>18/6</f>
        <v>3</v>
      </c>
    </row>
    <row r="91" spans="1:23" x14ac:dyDescent="0.2">
      <c r="A91" s="7">
        <v>43230</v>
      </c>
      <c r="B91" s="30">
        <v>2018</v>
      </c>
      <c r="C91">
        <v>2</v>
      </c>
      <c r="D91">
        <v>14</v>
      </c>
      <c r="E91" t="s">
        <v>33</v>
      </c>
      <c r="F91" t="s">
        <v>17</v>
      </c>
      <c r="G91" t="s">
        <v>21</v>
      </c>
      <c r="H91">
        <v>3</v>
      </c>
      <c r="S91">
        <f t="shared" si="2"/>
        <v>3</v>
      </c>
      <c r="T91">
        <v>1</v>
      </c>
      <c r="U91">
        <f>6/3</f>
        <v>2</v>
      </c>
    </row>
    <row r="92" spans="1:23" x14ac:dyDescent="0.2">
      <c r="A92" s="7">
        <v>43230</v>
      </c>
      <c r="B92" s="30">
        <v>2018</v>
      </c>
      <c r="C92">
        <v>3</v>
      </c>
      <c r="D92">
        <v>14</v>
      </c>
      <c r="E92" t="s">
        <v>33</v>
      </c>
      <c r="F92" t="s">
        <v>14</v>
      </c>
      <c r="G92" t="s">
        <v>21</v>
      </c>
      <c r="H92">
        <v>32</v>
      </c>
      <c r="S92">
        <f t="shared" si="2"/>
        <v>32</v>
      </c>
      <c r="T92">
        <v>2</v>
      </c>
      <c r="U92">
        <f>70/32</f>
        <v>2.1875</v>
      </c>
    </row>
    <row r="93" spans="1:23" x14ac:dyDescent="0.2">
      <c r="A93" s="7">
        <v>43230</v>
      </c>
      <c r="B93" s="30">
        <v>2018</v>
      </c>
      <c r="C93">
        <v>4</v>
      </c>
      <c r="D93">
        <v>14</v>
      </c>
      <c r="E93" t="s">
        <v>33</v>
      </c>
      <c r="F93" t="s">
        <v>14</v>
      </c>
      <c r="G93" t="s">
        <v>21</v>
      </c>
      <c r="H93">
        <v>0</v>
      </c>
      <c r="S93">
        <f t="shared" si="2"/>
        <v>0</v>
      </c>
      <c r="T93">
        <v>0</v>
      </c>
    </row>
    <row r="94" spans="1:23" x14ac:dyDescent="0.2">
      <c r="A94" s="7">
        <v>43392</v>
      </c>
      <c r="B94" s="30">
        <v>2018</v>
      </c>
      <c r="C94">
        <v>1</v>
      </c>
      <c r="D94">
        <v>16</v>
      </c>
      <c r="E94" t="s">
        <v>34</v>
      </c>
      <c r="F94" t="s">
        <v>17</v>
      </c>
      <c r="G94" t="s">
        <v>21</v>
      </c>
      <c r="H94">
        <v>8</v>
      </c>
      <c r="P94">
        <v>1</v>
      </c>
      <c r="S94">
        <f t="shared" si="2"/>
        <v>9</v>
      </c>
      <c r="T94">
        <v>2</v>
      </c>
      <c r="U94">
        <f>20/8</f>
        <v>2.5</v>
      </c>
      <c r="W94">
        <v>1</v>
      </c>
    </row>
    <row r="95" spans="1:23" x14ac:dyDescent="0.2">
      <c r="A95" s="7">
        <v>43392</v>
      </c>
      <c r="B95" s="30">
        <v>2018</v>
      </c>
      <c r="C95">
        <v>2</v>
      </c>
      <c r="D95">
        <v>16</v>
      </c>
      <c r="E95" t="s">
        <v>34</v>
      </c>
      <c r="F95" t="s">
        <v>17</v>
      </c>
      <c r="G95" t="s">
        <v>21</v>
      </c>
      <c r="H95">
        <v>0</v>
      </c>
      <c r="S95">
        <f t="shared" si="2"/>
        <v>0</v>
      </c>
      <c r="T95">
        <v>0</v>
      </c>
    </row>
    <row r="96" spans="1:23" x14ac:dyDescent="0.2">
      <c r="A96" s="7">
        <v>43392</v>
      </c>
      <c r="B96" s="30">
        <v>2018</v>
      </c>
      <c r="C96">
        <v>3</v>
      </c>
      <c r="D96">
        <v>16</v>
      </c>
      <c r="E96" t="s">
        <v>34</v>
      </c>
      <c r="F96" t="s">
        <v>14</v>
      </c>
      <c r="G96" t="s">
        <v>21</v>
      </c>
      <c r="H96">
        <v>150</v>
      </c>
      <c r="S96">
        <f t="shared" si="2"/>
        <v>150</v>
      </c>
      <c r="T96">
        <v>1</v>
      </c>
      <c r="U96">
        <f>451/150</f>
        <v>3.0066666666666668</v>
      </c>
    </row>
    <row r="97" spans="1:21" x14ac:dyDescent="0.2">
      <c r="A97" s="7">
        <v>43392</v>
      </c>
      <c r="B97" s="30">
        <v>2018</v>
      </c>
      <c r="C97">
        <v>4</v>
      </c>
      <c r="D97">
        <v>16</v>
      </c>
      <c r="E97" t="s">
        <v>34</v>
      </c>
      <c r="F97" t="s">
        <v>14</v>
      </c>
      <c r="G97" t="s">
        <v>21</v>
      </c>
      <c r="H97">
        <v>162</v>
      </c>
      <c r="S97">
        <f t="shared" si="2"/>
        <v>162</v>
      </c>
      <c r="T97">
        <v>1</v>
      </c>
      <c r="U97">
        <f>392/162</f>
        <v>2.4197530864197532</v>
      </c>
    </row>
    <row r="98" spans="1:21" x14ac:dyDescent="0.2">
      <c r="B98" s="30"/>
    </row>
    <row r="99" spans="1:21" x14ac:dyDescent="0.2">
      <c r="B99" s="30"/>
    </row>
    <row r="100" spans="1:21" x14ac:dyDescent="0.2">
      <c r="B100" s="30"/>
    </row>
    <row r="101" spans="1:21" x14ac:dyDescent="0.2">
      <c r="B101" s="30"/>
    </row>
    <row r="102" spans="1:21" x14ac:dyDescent="0.2">
      <c r="B102" s="30"/>
    </row>
    <row r="103" spans="1:21" x14ac:dyDescent="0.2">
      <c r="B103" s="30"/>
    </row>
    <row r="104" spans="1:21" x14ac:dyDescent="0.2">
      <c r="B104" s="30"/>
    </row>
    <row r="105" spans="1:21" x14ac:dyDescent="0.2">
      <c r="B105" s="30"/>
    </row>
    <row r="106" spans="1:21" x14ac:dyDescent="0.2">
      <c r="B106" s="30"/>
    </row>
    <row r="107" spans="1:21" x14ac:dyDescent="0.2">
      <c r="B107" s="30"/>
    </row>
    <row r="108" spans="1:21" x14ac:dyDescent="0.2">
      <c r="B108" s="30"/>
    </row>
    <row r="109" spans="1:21" x14ac:dyDescent="0.2">
      <c r="B109" s="30"/>
    </row>
    <row r="110" spans="1:21" x14ac:dyDescent="0.2">
      <c r="B110" s="30"/>
    </row>
    <row r="111" spans="1:21" x14ac:dyDescent="0.2">
      <c r="B111" s="30"/>
    </row>
    <row r="112" spans="1:21" x14ac:dyDescent="0.2">
      <c r="B112" s="30"/>
    </row>
    <row r="113" spans="2:2" x14ac:dyDescent="0.2">
      <c r="B113" s="30"/>
    </row>
    <row r="114" spans="2:2" x14ac:dyDescent="0.2">
      <c r="B114" s="30"/>
    </row>
    <row r="115" spans="2:2" x14ac:dyDescent="0.2">
      <c r="B115" s="30"/>
    </row>
    <row r="116" spans="2:2" x14ac:dyDescent="0.2">
      <c r="B116" s="30"/>
    </row>
    <row r="117" spans="2:2" x14ac:dyDescent="0.2">
      <c r="B117" s="30"/>
    </row>
    <row r="118" spans="2:2" x14ac:dyDescent="0.2">
      <c r="B118" s="30"/>
    </row>
    <row r="119" spans="2:2" x14ac:dyDescent="0.2">
      <c r="B119" s="30"/>
    </row>
    <row r="120" spans="2:2" x14ac:dyDescent="0.2">
      <c r="B120" s="30"/>
    </row>
    <row r="121" spans="2:2" x14ac:dyDescent="0.2">
      <c r="B121" s="30"/>
    </row>
    <row r="122" spans="2:2" x14ac:dyDescent="0.2">
      <c r="B122" s="30"/>
    </row>
    <row r="123" spans="2:2" x14ac:dyDescent="0.2">
      <c r="B123" s="30"/>
    </row>
    <row r="124" spans="2:2" x14ac:dyDescent="0.2">
      <c r="B124" s="30"/>
    </row>
    <row r="125" spans="2:2" x14ac:dyDescent="0.2">
      <c r="B125" s="30"/>
    </row>
    <row r="126" spans="2:2" x14ac:dyDescent="0.2">
      <c r="B126" s="30"/>
    </row>
    <row r="127" spans="2:2" x14ac:dyDescent="0.2">
      <c r="B127" s="30"/>
    </row>
    <row r="128" spans="2:2" x14ac:dyDescent="0.2">
      <c r="B128" s="30"/>
    </row>
    <row r="129" spans="2:2" x14ac:dyDescent="0.2">
      <c r="B129" s="30"/>
    </row>
    <row r="130" spans="2:2" x14ac:dyDescent="0.2">
      <c r="B130" s="30"/>
    </row>
    <row r="131" spans="2:2" x14ac:dyDescent="0.2">
      <c r="B131" s="30"/>
    </row>
    <row r="132" spans="2:2" x14ac:dyDescent="0.2">
      <c r="B132" s="30"/>
    </row>
    <row r="133" spans="2:2" x14ac:dyDescent="0.2">
      <c r="B133" s="30"/>
    </row>
    <row r="134" spans="2:2" x14ac:dyDescent="0.2">
      <c r="B134" s="30"/>
    </row>
    <row r="135" spans="2:2" x14ac:dyDescent="0.2">
      <c r="B135" s="30"/>
    </row>
    <row r="136" spans="2:2" x14ac:dyDescent="0.2">
      <c r="B136" s="30"/>
    </row>
    <row r="137" spans="2:2" x14ac:dyDescent="0.2">
      <c r="B137" s="30"/>
    </row>
    <row r="138" spans="2:2" x14ac:dyDescent="0.2">
      <c r="B138" s="30"/>
    </row>
    <row r="139" spans="2:2" x14ac:dyDescent="0.2">
      <c r="B139" s="30"/>
    </row>
    <row r="140" spans="2:2" x14ac:dyDescent="0.2">
      <c r="B140" s="30"/>
    </row>
    <row r="141" spans="2:2" x14ac:dyDescent="0.2">
      <c r="B141" s="30"/>
    </row>
    <row r="142" spans="2:2" x14ac:dyDescent="0.2">
      <c r="B142" s="30"/>
    </row>
    <row r="143" spans="2:2" x14ac:dyDescent="0.2">
      <c r="B143" s="30"/>
    </row>
    <row r="144" spans="2:2" x14ac:dyDescent="0.2">
      <c r="B144" s="30"/>
    </row>
    <row r="145" spans="2:2" x14ac:dyDescent="0.2">
      <c r="B145" s="30"/>
    </row>
    <row r="146" spans="2:2" x14ac:dyDescent="0.2">
      <c r="B146" s="30"/>
    </row>
    <row r="147" spans="2:2" x14ac:dyDescent="0.2">
      <c r="B147" s="30"/>
    </row>
    <row r="148" spans="2:2" x14ac:dyDescent="0.2">
      <c r="B148" s="30"/>
    </row>
    <row r="149" spans="2:2" x14ac:dyDescent="0.2">
      <c r="B149" s="30"/>
    </row>
    <row r="150" spans="2:2" x14ac:dyDescent="0.2">
      <c r="B150" s="30"/>
    </row>
    <row r="151" spans="2:2" x14ac:dyDescent="0.2">
      <c r="B151" s="30"/>
    </row>
    <row r="152" spans="2:2" x14ac:dyDescent="0.2">
      <c r="B152" s="30"/>
    </row>
    <row r="153" spans="2:2" x14ac:dyDescent="0.2">
      <c r="B153" s="30"/>
    </row>
    <row r="154" spans="2:2" x14ac:dyDescent="0.2">
      <c r="B154" s="30"/>
    </row>
    <row r="155" spans="2:2" x14ac:dyDescent="0.2">
      <c r="B155" s="30"/>
    </row>
    <row r="156" spans="2:2" x14ac:dyDescent="0.2">
      <c r="B156" s="30"/>
    </row>
    <row r="157" spans="2:2" x14ac:dyDescent="0.2">
      <c r="B157" s="30"/>
    </row>
    <row r="158" spans="2:2" x14ac:dyDescent="0.2">
      <c r="B158" s="30"/>
    </row>
    <row r="159" spans="2:2" x14ac:dyDescent="0.2">
      <c r="B159" s="30"/>
    </row>
    <row r="160" spans="2:2" x14ac:dyDescent="0.2">
      <c r="B160" s="30"/>
    </row>
    <row r="161" spans="2:2" x14ac:dyDescent="0.2">
      <c r="B161" s="30"/>
    </row>
    <row r="162" spans="2:2" x14ac:dyDescent="0.2">
      <c r="B162" s="30"/>
    </row>
    <row r="163" spans="2:2" x14ac:dyDescent="0.2">
      <c r="B163" s="30"/>
    </row>
    <row r="164" spans="2:2" x14ac:dyDescent="0.2">
      <c r="B164" s="30"/>
    </row>
    <row r="165" spans="2:2" x14ac:dyDescent="0.2">
      <c r="B165" s="30"/>
    </row>
    <row r="166" spans="2:2" x14ac:dyDescent="0.2">
      <c r="B166" s="30"/>
    </row>
    <row r="167" spans="2:2" x14ac:dyDescent="0.2">
      <c r="B167" s="30"/>
    </row>
    <row r="168" spans="2:2" x14ac:dyDescent="0.2">
      <c r="B168" s="30"/>
    </row>
    <row r="169" spans="2:2" x14ac:dyDescent="0.2">
      <c r="B169" s="30"/>
    </row>
    <row r="170" spans="2:2" x14ac:dyDescent="0.2">
      <c r="B170" s="30"/>
    </row>
    <row r="171" spans="2:2" x14ac:dyDescent="0.2">
      <c r="B171" s="30"/>
    </row>
    <row r="172" spans="2:2" x14ac:dyDescent="0.2">
      <c r="B172" s="30"/>
    </row>
    <row r="173" spans="2:2" x14ac:dyDescent="0.2">
      <c r="B173" s="30"/>
    </row>
    <row r="174" spans="2:2" x14ac:dyDescent="0.2">
      <c r="B174" s="30"/>
    </row>
    <row r="175" spans="2:2" x14ac:dyDescent="0.2">
      <c r="B175" s="30"/>
    </row>
    <row r="176" spans="2:2" x14ac:dyDescent="0.2">
      <c r="B176" s="30"/>
    </row>
    <row r="177" spans="2:2" x14ac:dyDescent="0.2">
      <c r="B177" s="30"/>
    </row>
    <row r="178" spans="2:2" x14ac:dyDescent="0.2">
      <c r="B178" s="30"/>
    </row>
    <row r="179" spans="2:2" x14ac:dyDescent="0.2">
      <c r="B179" s="30"/>
    </row>
    <row r="180" spans="2:2" x14ac:dyDescent="0.2">
      <c r="B180" s="30"/>
    </row>
    <row r="181" spans="2:2" x14ac:dyDescent="0.2">
      <c r="B181" s="30"/>
    </row>
    <row r="182" spans="2:2" x14ac:dyDescent="0.2">
      <c r="B182" s="30"/>
    </row>
    <row r="183" spans="2:2" x14ac:dyDescent="0.2">
      <c r="B183" s="30"/>
    </row>
    <row r="184" spans="2:2" x14ac:dyDescent="0.2">
      <c r="B184" s="30"/>
    </row>
    <row r="185" spans="2:2" x14ac:dyDescent="0.2">
      <c r="B185" s="30"/>
    </row>
    <row r="186" spans="2:2" x14ac:dyDescent="0.2">
      <c r="B186" s="30"/>
    </row>
    <row r="187" spans="2:2" x14ac:dyDescent="0.2">
      <c r="B187" s="30"/>
    </row>
    <row r="188" spans="2:2" x14ac:dyDescent="0.2">
      <c r="B188" s="30"/>
    </row>
    <row r="189" spans="2:2" x14ac:dyDescent="0.2">
      <c r="B189" s="30"/>
    </row>
    <row r="190" spans="2:2" x14ac:dyDescent="0.2">
      <c r="B190" s="30"/>
    </row>
    <row r="191" spans="2:2" x14ac:dyDescent="0.2">
      <c r="B191" s="30"/>
    </row>
    <row r="192" spans="2:2" x14ac:dyDescent="0.2">
      <c r="B192" s="30"/>
    </row>
    <row r="193" spans="2:2" x14ac:dyDescent="0.2">
      <c r="B193" s="30"/>
    </row>
    <row r="194" spans="2:2" x14ac:dyDescent="0.2">
      <c r="B194" s="30"/>
    </row>
    <row r="195" spans="2:2" x14ac:dyDescent="0.2">
      <c r="B195" s="30"/>
    </row>
    <row r="196" spans="2:2" x14ac:dyDescent="0.2">
      <c r="B196" s="30"/>
    </row>
    <row r="197" spans="2:2" x14ac:dyDescent="0.2">
      <c r="B197" s="30"/>
    </row>
    <row r="198" spans="2:2" x14ac:dyDescent="0.2">
      <c r="B198" s="30"/>
    </row>
    <row r="199" spans="2:2" x14ac:dyDescent="0.2">
      <c r="B199" s="30"/>
    </row>
    <row r="200" spans="2:2" x14ac:dyDescent="0.2">
      <c r="B200" s="30"/>
    </row>
    <row r="201" spans="2:2" x14ac:dyDescent="0.2">
      <c r="B201" s="30"/>
    </row>
    <row r="202" spans="2:2" x14ac:dyDescent="0.2">
      <c r="B202" s="30"/>
    </row>
    <row r="203" spans="2:2" x14ac:dyDescent="0.2">
      <c r="B203" s="30"/>
    </row>
    <row r="204" spans="2:2" x14ac:dyDescent="0.2">
      <c r="B204" s="30"/>
    </row>
    <row r="205" spans="2:2" x14ac:dyDescent="0.2">
      <c r="B205" s="30"/>
    </row>
    <row r="206" spans="2:2" x14ac:dyDescent="0.2">
      <c r="B206" s="30"/>
    </row>
    <row r="207" spans="2:2" x14ac:dyDescent="0.2">
      <c r="B207" s="30"/>
    </row>
    <row r="208" spans="2:2" x14ac:dyDescent="0.2">
      <c r="B208" s="30"/>
    </row>
    <row r="209" spans="2:2" x14ac:dyDescent="0.2">
      <c r="B209" s="30"/>
    </row>
    <row r="210" spans="2:2" x14ac:dyDescent="0.2">
      <c r="B210" s="30"/>
    </row>
    <row r="211" spans="2:2" x14ac:dyDescent="0.2">
      <c r="B211" s="30"/>
    </row>
    <row r="212" spans="2:2" x14ac:dyDescent="0.2">
      <c r="B212" s="30"/>
    </row>
    <row r="213" spans="2:2" x14ac:dyDescent="0.2">
      <c r="B213" s="30"/>
    </row>
    <row r="214" spans="2:2" x14ac:dyDescent="0.2">
      <c r="B214" s="30"/>
    </row>
    <row r="215" spans="2:2" x14ac:dyDescent="0.2">
      <c r="B215" s="30"/>
    </row>
    <row r="216" spans="2:2" x14ac:dyDescent="0.2">
      <c r="B216" s="30"/>
    </row>
    <row r="217" spans="2:2" x14ac:dyDescent="0.2">
      <c r="B217" s="30"/>
    </row>
    <row r="218" spans="2:2" x14ac:dyDescent="0.2">
      <c r="B218" s="30"/>
    </row>
    <row r="219" spans="2:2" x14ac:dyDescent="0.2">
      <c r="B219" s="30"/>
    </row>
    <row r="220" spans="2:2" x14ac:dyDescent="0.2">
      <c r="B220" s="30"/>
    </row>
    <row r="221" spans="2:2" x14ac:dyDescent="0.2">
      <c r="B221" s="30"/>
    </row>
    <row r="222" spans="2:2" x14ac:dyDescent="0.2">
      <c r="B222" s="30"/>
    </row>
    <row r="223" spans="2:2" x14ac:dyDescent="0.2">
      <c r="B223" s="30"/>
    </row>
    <row r="224" spans="2:2" x14ac:dyDescent="0.2">
      <c r="B224" s="30"/>
    </row>
    <row r="225" spans="2:2" x14ac:dyDescent="0.2">
      <c r="B225" s="30"/>
    </row>
    <row r="226" spans="2:2" x14ac:dyDescent="0.2">
      <c r="B226" s="30"/>
    </row>
    <row r="227" spans="2:2" x14ac:dyDescent="0.2">
      <c r="B227" s="30"/>
    </row>
    <row r="228" spans="2:2" x14ac:dyDescent="0.2">
      <c r="B228" s="30"/>
    </row>
    <row r="229" spans="2:2" x14ac:dyDescent="0.2">
      <c r="B229" s="30"/>
    </row>
    <row r="230" spans="2:2" x14ac:dyDescent="0.2">
      <c r="B230" s="30"/>
    </row>
    <row r="231" spans="2:2" x14ac:dyDescent="0.2">
      <c r="B231" s="30"/>
    </row>
    <row r="232" spans="2:2" x14ac:dyDescent="0.2">
      <c r="B232" s="30"/>
    </row>
    <row r="233" spans="2:2" x14ac:dyDescent="0.2">
      <c r="B233" s="30"/>
    </row>
    <row r="234" spans="2:2" x14ac:dyDescent="0.2">
      <c r="B234" s="30"/>
    </row>
    <row r="235" spans="2:2" x14ac:dyDescent="0.2">
      <c r="B235" s="30"/>
    </row>
    <row r="236" spans="2:2" x14ac:dyDescent="0.2">
      <c r="B236" s="30"/>
    </row>
    <row r="237" spans="2:2" x14ac:dyDescent="0.2">
      <c r="B237" s="30"/>
    </row>
    <row r="238" spans="2:2" x14ac:dyDescent="0.2">
      <c r="B238" s="30"/>
    </row>
    <row r="239" spans="2:2" x14ac:dyDescent="0.2">
      <c r="B239" s="30"/>
    </row>
    <row r="240" spans="2:2" x14ac:dyDescent="0.2">
      <c r="B240" s="30"/>
    </row>
    <row r="241" spans="2:2" x14ac:dyDescent="0.2">
      <c r="B241" s="30"/>
    </row>
    <row r="242" spans="2:2" x14ac:dyDescent="0.2">
      <c r="B242" s="30"/>
    </row>
    <row r="243" spans="2:2" x14ac:dyDescent="0.2">
      <c r="B243" s="30"/>
    </row>
    <row r="244" spans="2:2" x14ac:dyDescent="0.2">
      <c r="B244" s="30"/>
    </row>
    <row r="245" spans="2:2" x14ac:dyDescent="0.2">
      <c r="B245" s="30"/>
    </row>
    <row r="246" spans="2:2" x14ac:dyDescent="0.2">
      <c r="B246" s="30"/>
    </row>
    <row r="247" spans="2:2" x14ac:dyDescent="0.2">
      <c r="B247" s="30"/>
    </row>
    <row r="248" spans="2:2" x14ac:dyDescent="0.2">
      <c r="B248" s="30"/>
    </row>
    <row r="249" spans="2:2" x14ac:dyDescent="0.2">
      <c r="B249" s="30"/>
    </row>
    <row r="250" spans="2:2" x14ac:dyDescent="0.2">
      <c r="B250" s="30"/>
    </row>
    <row r="251" spans="2:2" x14ac:dyDescent="0.2">
      <c r="B251" s="30"/>
    </row>
    <row r="252" spans="2:2" x14ac:dyDescent="0.2">
      <c r="B252" s="30"/>
    </row>
    <row r="253" spans="2:2" x14ac:dyDescent="0.2">
      <c r="B253" s="30"/>
    </row>
    <row r="254" spans="2:2" x14ac:dyDescent="0.2">
      <c r="B254" s="30"/>
    </row>
    <row r="255" spans="2:2" x14ac:dyDescent="0.2">
      <c r="B255" s="30"/>
    </row>
    <row r="256" spans="2:2" x14ac:dyDescent="0.2">
      <c r="B256" s="30"/>
    </row>
    <row r="257" spans="2:2" x14ac:dyDescent="0.2">
      <c r="B257" s="30"/>
    </row>
    <row r="258" spans="2:2" x14ac:dyDescent="0.2">
      <c r="B258" s="30"/>
    </row>
    <row r="259" spans="2:2" x14ac:dyDescent="0.2">
      <c r="B259" s="30"/>
    </row>
    <row r="260" spans="2:2" x14ac:dyDescent="0.2">
      <c r="B260" s="30"/>
    </row>
    <row r="261" spans="2:2" x14ac:dyDescent="0.2">
      <c r="B261" s="30"/>
    </row>
    <row r="262" spans="2:2" x14ac:dyDescent="0.2">
      <c r="B262" s="30"/>
    </row>
    <row r="263" spans="2:2" x14ac:dyDescent="0.2">
      <c r="B263" s="30"/>
    </row>
    <row r="295" spans="2:2" x14ac:dyDescent="0.2">
      <c r="B295">
        <v>3004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1"/>
  <sheetViews>
    <sheetView zoomScaleNormal="100" workbookViewId="0">
      <pane xSplit="4" ySplit="5" topLeftCell="O69" activePane="bottomRight" state="frozen"/>
      <selection pane="topRight" activeCell="D1" sqref="D1"/>
      <selection pane="bottomLeft" activeCell="A6" sqref="A6"/>
      <selection pane="bottomRight" activeCell="AA5" sqref="AA5"/>
    </sheetView>
  </sheetViews>
  <sheetFormatPr defaultRowHeight="12.75" x14ac:dyDescent="0.2"/>
  <cols>
    <col min="1" max="1" width="11.5703125" customWidth="1"/>
    <col min="2" max="2" width="6" customWidth="1"/>
    <col min="3" max="3" width="6.5703125" customWidth="1"/>
    <col min="4" max="6" width="0" hidden="1" customWidth="1"/>
    <col min="7" max="7" width="10.140625" customWidth="1"/>
    <col min="8" max="18" width="4.5703125" customWidth="1"/>
    <col min="21" max="24" width="5.7109375" customWidth="1"/>
  </cols>
  <sheetData>
    <row r="1" spans="1:34" x14ac:dyDescent="0.2">
      <c r="A1" s="5" t="s">
        <v>13</v>
      </c>
      <c r="B1" s="5"/>
      <c r="S1" t="s">
        <v>55</v>
      </c>
      <c r="T1">
        <f>SUM(H6:H400)</f>
        <v>8159</v>
      </c>
    </row>
    <row r="2" spans="1:34" x14ac:dyDescent="0.2">
      <c r="A2" s="5" t="s">
        <v>4</v>
      </c>
      <c r="B2" s="5"/>
      <c r="H2" t="s">
        <v>23</v>
      </c>
    </row>
    <row r="3" spans="1:34" x14ac:dyDescent="0.2">
      <c r="A3" s="5" t="s">
        <v>5</v>
      </c>
      <c r="B3" s="5"/>
      <c r="H3" t="s">
        <v>74</v>
      </c>
      <c r="U3" s="6" t="s">
        <v>8</v>
      </c>
      <c r="V3" s="6"/>
      <c r="W3" s="6"/>
      <c r="X3" s="6"/>
    </row>
    <row r="4" spans="1:34" ht="13.5" thickBot="1" x14ac:dyDescent="0.25">
      <c r="A4" s="5" t="s">
        <v>16</v>
      </c>
      <c r="B4" s="5"/>
    </row>
    <row r="5" spans="1:34" ht="113.25" thickBot="1" x14ac:dyDescent="0.25">
      <c r="A5" s="1" t="s">
        <v>0</v>
      </c>
      <c r="B5" s="1" t="s">
        <v>66</v>
      </c>
      <c r="C5" s="2" t="s">
        <v>1</v>
      </c>
      <c r="D5" s="3" t="s">
        <v>18</v>
      </c>
      <c r="E5" s="3" t="s">
        <v>32</v>
      </c>
      <c r="F5" s="3" t="s">
        <v>2</v>
      </c>
      <c r="G5" s="4" t="s">
        <v>19</v>
      </c>
      <c r="H5" s="4" t="s">
        <v>3</v>
      </c>
      <c r="I5" s="4" t="s">
        <v>22</v>
      </c>
      <c r="J5" s="4" t="s">
        <v>24</v>
      </c>
      <c r="K5" s="4" t="s">
        <v>25</v>
      </c>
      <c r="L5" s="4" t="s">
        <v>6</v>
      </c>
      <c r="M5" s="4" t="s">
        <v>56</v>
      </c>
      <c r="N5" s="4" t="s">
        <v>57</v>
      </c>
      <c r="O5" s="4" t="s">
        <v>58</v>
      </c>
      <c r="P5" s="4" t="s">
        <v>11</v>
      </c>
      <c r="Q5" s="4" t="s">
        <v>52</v>
      </c>
      <c r="R5" s="4" t="s">
        <v>7</v>
      </c>
      <c r="S5" s="3" t="s">
        <v>9</v>
      </c>
      <c r="T5" s="3" t="s">
        <v>10</v>
      </c>
      <c r="U5" s="4" t="s">
        <v>28</v>
      </c>
      <c r="V5" s="4" t="s">
        <v>29</v>
      </c>
      <c r="W5" s="4" t="s">
        <v>30</v>
      </c>
      <c r="X5" s="4" t="s">
        <v>68</v>
      </c>
      <c r="Y5" s="6" t="s">
        <v>12</v>
      </c>
      <c r="AB5" s="38" t="s">
        <v>66</v>
      </c>
      <c r="AC5" s="39" t="s">
        <v>75</v>
      </c>
      <c r="AD5" s="39" t="s">
        <v>76</v>
      </c>
      <c r="AG5" s="42" t="s">
        <v>79</v>
      </c>
      <c r="AH5" s="42" t="s">
        <v>80</v>
      </c>
    </row>
    <row r="6" spans="1:34" ht="15.75" thickBot="1" x14ac:dyDescent="0.25">
      <c r="A6" s="7">
        <v>37370</v>
      </c>
      <c r="B6" s="30">
        <v>2002</v>
      </c>
      <c r="C6">
        <v>4</v>
      </c>
      <c r="D6">
        <v>19</v>
      </c>
      <c r="E6" t="s">
        <v>33</v>
      </c>
      <c r="F6" t="s">
        <v>14</v>
      </c>
      <c r="G6" t="s">
        <v>20</v>
      </c>
      <c r="H6">
        <v>7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f t="shared" ref="S6:S65" si="0">SUM(H6:R6)</f>
        <v>7</v>
      </c>
      <c r="T6">
        <v>1</v>
      </c>
      <c r="U6" s="8">
        <f>25/7</f>
        <v>3.5714285714285716</v>
      </c>
      <c r="AB6" s="38">
        <v>2002</v>
      </c>
      <c r="AC6" s="39">
        <v>6.2</v>
      </c>
      <c r="AD6" s="39" t="s">
        <v>77</v>
      </c>
      <c r="AF6" s="25">
        <f>SUM(AC6:AC7)</f>
        <v>7.2</v>
      </c>
      <c r="AG6">
        <f>AF6/2</f>
        <v>3.6</v>
      </c>
      <c r="AH6">
        <f>AF7/4</f>
        <v>253</v>
      </c>
    </row>
    <row r="7" spans="1:34" ht="15.75" thickBot="1" x14ac:dyDescent="0.25">
      <c r="A7" s="7">
        <v>37370</v>
      </c>
      <c r="B7" s="30">
        <v>2002</v>
      </c>
      <c r="C7">
        <v>3</v>
      </c>
      <c r="D7">
        <v>19</v>
      </c>
      <c r="E7" t="s">
        <v>33</v>
      </c>
      <c r="F7" t="s">
        <v>14</v>
      </c>
      <c r="G7" t="s">
        <v>20</v>
      </c>
      <c r="H7">
        <v>23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f t="shared" si="0"/>
        <v>23</v>
      </c>
      <c r="T7">
        <v>1</v>
      </c>
      <c r="U7" s="8">
        <f>110/23</f>
        <v>4.7826086956521738</v>
      </c>
      <c r="AB7" s="40">
        <v>2003</v>
      </c>
      <c r="AC7" s="41">
        <v>1</v>
      </c>
      <c r="AD7" s="41" t="s">
        <v>77</v>
      </c>
      <c r="AF7">
        <f>SUM(AC8:AC11)</f>
        <v>1012</v>
      </c>
    </row>
    <row r="8" spans="1:34" ht="15.75" thickBot="1" x14ac:dyDescent="0.25">
      <c r="A8" s="7">
        <v>37370</v>
      </c>
      <c r="B8" s="30">
        <v>2002</v>
      </c>
      <c r="C8" t="s">
        <v>15</v>
      </c>
      <c r="D8">
        <v>0.5</v>
      </c>
      <c r="E8" t="s">
        <v>33</v>
      </c>
      <c r="F8" t="s">
        <v>17</v>
      </c>
      <c r="G8" t="s">
        <v>20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f t="shared" si="0"/>
        <v>0</v>
      </c>
      <c r="T8">
        <v>0</v>
      </c>
      <c r="U8" s="8"/>
      <c r="AB8" s="40">
        <v>2004</v>
      </c>
      <c r="AC8" s="41">
        <v>35.5</v>
      </c>
      <c r="AD8" s="41" t="s">
        <v>78</v>
      </c>
    </row>
    <row r="9" spans="1:34" ht="15.75" thickBot="1" x14ac:dyDescent="0.25">
      <c r="A9" s="7">
        <v>37384</v>
      </c>
      <c r="B9" s="30">
        <v>2002</v>
      </c>
      <c r="C9">
        <v>3</v>
      </c>
      <c r="D9">
        <v>20</v>
      </c>
      <c r="E9" t="s">
        <v>33</v>
      </c>
      <c r="F9" t="s">
        <v>14</v>
      </c>
      <c r="G9" t="s">
        <v>20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2</v>
      </c>
      <c r="S9">
        <f>SUM(H9:R9)</f>
        <v>2</v>
      </c>
      <c r="T9">
        <v>1</v>
      </c>
      <c r="U9" s="8"/>
      <c r="AB9" s="40">
        <v>2005</v>
      </c>
      <c r="AC9" s="41">
        <v>102.5</v>
      </c>
      <c r="AD9" s="41" t="s">
        <v>78</v>
      </c>
    </row>
    <row r="10" spans="1:34" ht="15.75" thickBot="1" x14ac:dyDescent="0.25">
      <c r="A10" s="7">
        <v>37384</v>
      </c>
      <c r="B10" s="30">
        <v>2002</v>
      </c>
      <c r="C10">
        <v>4</v>
      </c>
      <c r="D10">
        <v>20</v>
      </c>
      <c r="E10" t="s">
        <v>33</v>
      </c>
      <c r="F10" t="s">
        <v>14</v>
      </c>
      <c r="G10" t="s">
        <v>20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f t="shared" si="0"/>
        <v>1</v>
      </c>
      <c r="T10">
        <v>1</v>
      </c>
      <c r="U10" s="8"/>
      <c r="V10">
        <f>10/1</f>
        <v>10</v>
      </c>
      <c r="AB10" s="40">
        <v>2006</v>
      </c>
      <c r="AC10" s="41">
        <v>206</v>
      </c>
      <c r="AD10" s="41" t="s">
        <v>78</v>
      </c>
    </row>
    <row r="11" spans="1:34" ht="15.75" thickBot="1" x14ac:dyDescent="0.25">
      <c r="A11" s="7">
        <v>37384</v>
      </c>
      <c r="B11" s="30">
        <v>2002</v>
      </c>
      <c r="C11" t="s">
        <v>15</v>
      </c>
      <c r="D11">
        <v>0.5</v>
      </c>
      <c r="E11" t="s">
        <v>33</v>
      </c>
      <c r="F11" t="s">
        <v>17</v>
      </c>
      <c r="G11" t="s">
        <v>20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f t="shared" si="0"/>
        <v>0</v>
      </c>
      <c r="T11">
        <v>0</v>
      </c>
      <c r="U11" s="8"/>
      <c r="AB11" s="40">
        <v>2007</v>
      </c>
      <c r="AC11" s="41">
        <v>668</v>
      </c>
      <c r="AD11" s="41" t="s">
        <v>78</v>
      </c>
    </row>
    <row r="12" spans="1:34" x14ac:dyDescent="0.2">
      <c r="A12" s="7">
        <v>37398</v>
      </c>
      <c r="B12" s="30">
        <v>2002</v>
      </c>
      <c r="C12">
        <v>4</v>
      </c>
      <c r="D12">
        <v>20.5</v>
      </c>
      <c r="E12" t="s">
        <v>33</v>
      </c>
      <c r="F12" t="s">
        <v>14</v>
      </c>
      <c r="G12" t="s">
        <v>20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f t="shared" si="0"/>
        <v>1</v>
      </c>
      <c r="T12">
        <v>1</v>
      </c>
      <c r="U12" s="8">
        <f>5/1</f>
        <v>5</v>
      </c>
    </row>
    <row r="13" spans="1:34" x14ac:dyDescent="0.2">
      <c r="A13" s="7">
        <v>37398</v>
      </c>
      <c r="B13" s="30">
        <v>2002</v>
      </c>
      <c r="C13" t="s">
        <v>15</v>
      </c>
      <c r="D13">
        <v>0.5</v>
      </c>
      <c r="E13" t="s">
        <v>33</v>
      </c>
      <c r="F13" t="s">
        <v>17</v>
      </c>
      <c r="G13" t="s">
        <v>20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f t="shared" si="0"/>
        <v>0</v>
      </c>
      <c r="T13">
        <v>0</v>
      </c>
      <c r="Y13" t="s">
        <v>73</v>
      </c>
    </row>
    <row r="14" spans="1:34" x14ac:dyDescent="0.2">
      <c r="A14" s="7">
        <v>37775</v>
      </c>
      <c r="B14" s="30">
        <v>2003</v>
      </c>
      <c r="C14">
        <v>1</v>
      </c>
      <c r="D14">
        <v>26</v>
      </c>
      <c r="E14" t="s">
        <v>33</v>
      </c>
      <c r="F14" t="s">
        <v>17</v>
      </c>
      <c r="G14" t="s">
        <v>20</v>
      </c>
      <c r="H14">
        <v>14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2</v>
      </c>
      <c r="P14">
        <v>0</v>
      </c>
      <c r="Q14">
        <v>0</v>
      </c>
      <c r="R14">
        <v>0</v>
      </c>
      <c r="S14">
        <f t="shared" si="0"/>
        <v>16</v>
      </c>
      <c r="T14">
        <v>2</v>
      </c>
      <c r="U14">
        <v>2.1</v>
      </c>
    </row>
    <row r="15" spans="1:34" x14ac:dyDescent="0.2">
      <c r="A15" s="7">
        <v>37775</v>
      </c>
      <c r="B15" s="30">
        <v>2003</v>
      </c>
      <c r="C15">
        <v>3</v>
      </c>
      <c r="D15">
        <v>27.5</v>
      </c>
      <c r="E15" t="s">
        <v>33</v>
      </c>
      <c r="F15" t="s">
        <v>14</v>
      </c>
      <c r="G15" t="s">
        <v>20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f t="shared" si="0"/>
        <v>1</v>
      </c>
      <c r="T15">
        <v>1</v>
      </c>
      <c r="U15">
        <v>3</v>
      </c>
    </row>
    <row r="16" spans="1:34" x14ac:dyDescent="0.2">
      <c r="A16" s="7">
        <v>38163</v>
      </c>
      <c r="B16" s="30">
        <v>2004</v>
      </c>
      <c r="C16">
        <v>1</v>
      </c>
      <c r="D16">
        <v>13</v>
      </c>
      <c r="E16" t="s">
        <v>33</v>
      </c>
      <c r="F16" t="s">
        <v>17</v>
      </c>
      <c r="G16" t="s">
        <v>21</v>
      </c>
      <c r="H16">
        <v>35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12</v>
      </c>
      <c r="Q16">
        <v>0</v>
      </c>
      <c r="R16">
        <v>0</v>
      </c>
      <c r="S16">
        <f t="shared" si="0"/>
        <v>47</v>
      </c>
      <c r="T16">
        <v>2</v>
      </c>
      <c r="U16">
        <v>4.2</v>
      </c>
      <c r="W16">
        <v>7</v>
      </c>
    </row>
    <row r="17" spans="1:27" x14ac:dyDescent="0.2">
      <c r="A17" s="7">
        <v>38163</v>
      </c>
      <c r="B17" s="30">
        <v>2004</v>
      </c>
      <c r="C17">
        <v>2</v>
      </c>
      <c r="D17">
        <v>13</v>
      </c>
      <c r="E17" t="s">
        <v>33</v>
      </c>
      <c r="F17" t="s">
        <v>17</v>
      </c>
      <c r="G17" t="s">
        <v>21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f t="shared" si="0"/>
        <v>0</v>
      </c>
      <c r="T17">
        <v>0</v>
      </c>
    </row>
    <row r="18" spans="1:27" x14ac:dyDescent="0.2">
      <c r="A18" s="7">
        <v>38163</v>
      </c>
      <c r="B18" s="30">
        <v>2004</v>
      </c>
      <c r="C18">
        <v>3</v>
      </c>
      <c r="D18">
        <v>13</v>
      </c>
      <c r="E18" t="s">
        <v>33</v>
      </c>
      <c r="F18" t="s">
        <v>14</v>
      </c>
      <c r="G18" t="s">
        <v>44</v>
      </c>
      <c r="H18">
        <v>14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f t="shared" si="0"/>
        <v>15</v>
      </c>
      <c r="T18">
        <v>2</v>
      </c>
      <c r="U18">
        <v>3.6</v>
      </c>
      <c r="AA18">
        <f>SUBTOTAL(9,H18:H23)</f>
        <v>399</v>
      </c>
    </row>
    <row r="19" spans="1:27" x14ac:dyDescent="0.2">
      <c r="A19" s="7">
        <v>38163</v>
      </c>
      <c r="B19" s="30">
        <v>2004</v>
      </c>
      <c r="C19">
        <v>4</v>
      </c>
      <c r="D19">
        <v>13</v>
      </c>
      <c r="E19" t="s">
        <v>33</v>
      </c>
      <c r="F19" t="s">
        <v>14</v>
      </c>
      <c r="G19" t="s">
        <v>44</v>
      </c>
      <c r="H19">
        <v>13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f t="shared" si="0"/>
        <v>13</v>
      </c>
      <c r="T19">
        <v>1</v>
      </c>
      <c r="U19">
        <v>3.6</v>
      </c>
      <c r="AA19">
        <f>AA18/4</f>
        <v>99.75</v>
      </c>
    </row>
    <row r="20" spans="1:27" x14ac:dyDescent="0.2">
      <c r="A20" s="7">
        <v>38253</v>
      </c>
      <c r="B20" s="30">
        <v>2004</v>
      </c>
      <c r="C20">
        <v>1</v>
      </c>
      <c r="D20">
        <v>14</v>
      </c>
      <c r="E20" t="s">
        <v>34</v>
      </c>
      <c r="F20" t="s">
        <v>17</v>
      </c>
      <c r="G20" t="s">
        <v>21</v>
      </c>
      <c r="H20">
        <v>133</v>
      </c>
      <c r="I20">
        <v>0</v>
      </c>
      <c r="J20">
        <v>1</v>
      </c>
      <c r="K20">
        <v>1</v>
      </c>
      <c r="L20">
        <v>0</v>
      </c>
      <c r="M20">
        <v>0</v>
      </c>
      <c r="N20">
        <v>0</v>
      </c>
      <c r="O20">
        <v>0</v>
      </c>
      <c r="P20">
        <v>5</v>
      </c>
      <c r="Q20">
        <v>0</v>
      </c>
      <c r="R20">
        <v>0</v>
      </c>
      <c r="S20">
        <f t="shared" si="0"/>
        <v>140</v>
      </c>
      <c r="T20">
        <v>4</v>
      </c>
      <c r="U20">
        <f>270/133</f>
        <v>2.030075187969925</v>
      </c>
      <c r="W20">
        <v>5</v>
      </c>
    </row>
    <row r="21" spans="1:27" x14ac:dyDescent="0.2">
      <c r="A21" s="7">
        <v>38253</v>
      </c>
      <c r="B21" s="30">
        <v>2004</v>
      </c>
      <c r="C21">
        <v>2</v>
      </c>
      <c r="D21">
        <v>14</v>
      </c>
      <c r="E21" t="s">
        <v>34</v>
      </c>
      <c r="F21" t="s">
        <v>17</v>
      </c>
      <c r="G21" t="s">
        <v>21</v>
      </c>
      <c r="H21">
        <v>124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2</v>
      </c>
      <c r="Q21">
        <v>0</v>
      </c>
      <c r="R21">
        <v>0</v>
      </c>
      <c r="S21">
        <f t="shared" si="0"/>
        <v>126</v>
      </c>
      <c r="T21">
        <v>2</v>
      </c>
      <c r="U21">
        <f>210/124</f>
        <v>1.6935483870967742</v>
      </c>
      <c r="W21">
        <v>5</v>
      </c>
    </row>
    <row r="22" spans="1:27" x14ac:dyDescent="0.2">
      <c r="A22" s="7">
        <v>38253</v>
      </c>
      <c r="B22" s="30">
        <v>2004</v>
      </c>
      <c r="C22">
        <v>3</v>
      </c>
      <c r="D22">
        <v>17.5</v>
      </c>
      <c r="E22" t="s">
        <v>34</v>
      </c>
      <c r="F22" t="s">
        <v>14</v>
      </c>
      <c r="G22" t="s">
        <v>44</v>
      </c>
      <c r="H22">
        <v>78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3</v>
      </c>
      <c r="Q22">
        <v>0</v>
      </c>
      <c r="R22">
        <v>0</v>
      </c>
      <c r="S22">
        <f t="shared" si="0"/>
        <v>82</v>
      </c>
      <c r="T22">
        <v>3</v>
      </c>
      <c r="U22">
        <f>210/78</f>
        <v>2.6923076923076925</v>
      </c>
      <c r="W22">
        <v>5</v>
      </c>
    </row>
    <row r="23" spans="1:27" x14ac:dyDescent="0.2">
      <c r="A23" s="7">
        <v>38253</v>
      </c>
      <c r="B23" s="30">
        <v>2004</v>
      </c>
      <c r="C23">
        <v>4</v>
      </c>
      <c r="D23">
        <v>17.5</v>
      </c>
      <c r="E23" t="s">
        <v>34</v>
      </c>
      <c r="F23" t="s">
        <v>14</v>
      </c>
      <c r="G23" t="s">
        <v>44</v>
      </c>
      <c r="H23">
        <v>37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2</v>
      </c>
      <c r="Q23">
        <v>0</v>
      </c>
      <c r="R23">
        <v>0</v>
      </c>
      <c r="S23">
        <f t="shared" si="0"/>
        <v>39</v>
      </c>
      <c r="T23">
        <v>2</v>
      </c>
      <c r="U23">
        <f>70/37</f>
        <v>1.8918918918918919</v>
      </c>
      <c r="W23">
        <v>5</v>
      </c>
    </row>
    <row r="24" spans="1:27" x14ac:dyDescent="0.2">
      <c r="A24" s="7">
        <v>38540</v>
      </c>
      <c r="B24" s="30">
        <v>2005</v>
      </c>
      <c r="C24">
        <v>1</v>
      </c>
      <c r="D24">
        <v>15</v>
      </c>
      <c r="E24" t="s">
        <v>49</v>
      </c>
      <c r="F24" t="s">
        <v>17</v>
      </c>
      <c r="G24" t="s">
        <v>21</v>
      </c>
      <c r="H24">
        <v>70</v>
      </c>
      <c r="I24">
        <v>0</v>
      </c>
      <c r="J24">
        <v>0</v>
      </c>
      <c r="K24">
        <v>2</v>
      </c>
      <c r="L24">
        <v>3</v>
      </c>
      <c r="M24">
        <v>0</v>
      </c>
      <c r="N24">
        <v>0</v>
      </c>
      <c r="O24">
        <v>0</v>
      </c>
      <c r="P24">
        <v>2</v>
      </c>
      <c r="Q24">
        <v>0</v>
      </c>
      <c r="R24">
        <v>0</v>
      </c>
      <c r="S24">
        <f>SUM(H24:R24)</f>
        <v>77</v>
      </c>
      <c r="T24">
        <v>4</v>
      </c>
      <c r="U24">
        <f>250/70</f>
        <v>3.5714285714285716</v>
      </c>
      <c r="V24">
        <f>28/3</f>
        <v>9.3333333333333339</v>
      </c>
      <c r="W24">
        <v>2.5</v>
      </c>
    </row>
    <row r="25" spans="1:27" x14ac:dyDescent="0.2">
      <c r="A25" s="7">
        <v>38540</v>
      </c>
      <c r="B25" s="30">
        <v>2005</v>
      </c>
      <c r="C25">
        <v>2</v>
      </c>
      <c r="D25">
        <v>15</v>
      </c>
      <c r="E25" t="s">
        <v>49</v>
      </c>
      <c r="F25" t="s">
        <v>14</v>
      </c>
      <c r="G25" t="s">
        <v>44</v>
      </c>
      <c r="H25">
        <v>101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2</v>
      </c>
      <c r="Q25">
        <v>0</v>
      </c>
      <c r="R25">
        <v>0</v>
      </c>
      <c r="S25">
        <f t="shared" si="0"/>
        <v>103</v>
      </c>
      <c r="T25">
        <v>2</v>
      </c>
      <c r="U25">
        <f>410/101</f>
        <v>4.0594059405940595</v>
      </c>
      <c r="W25">
        <v>7.5</v>
      </c>
      <c r="AA25">
        <f>SUBTOTAL(9,H25:H30)</f>
        <v>863</v>
      </c>
    </row>
    <row r="26" spans="1:27" x14ac:dyDescent="0.2">
      <c r="A26" s="7">
        <v>38540</v>
      </c>
      <c r="B26" s="30">
        <v>2005</v>
      </c>
      <c r="C26">
        <v>3</v>
      </c>
      <c r="D26">
        <v>15</v>
      </c>
      <c r="E26" t="s">
        <v>49</v>
      </c>
      <c r="F26" t="s">
        <v>14</v>
      </c>
      <c r="G26" t="s">
        <v>44</v>
      </c>
      <c r="H26">
        <v>25</v>
      </c>
      <c r="I26">
        <v>0</v>
      </c>
      <c r="J26">
        <v>7</v>
      </c>
      <c r="K26">
        <v>0</v>
      </c>
      <c r="L26">
        <v>0</v>
      </c>
      <c r="M26">
        <v>0</v>
      </c>
      <c r="N26">
        <v>0</v>
      </c>
      <c r="O26">
        <v>0</v>
      </c>
      <c r="P26">
        <v>4</v>
      </c>
      <c r="Q26">
        <v>0</v>
      </c>
      <c r="R26">
        <v>0</v>
      </c>
      <c r="S26">
        <f t="shared" si="0"/>
        <v>36</v>
      </c>
      <c r="T26">
        <v>3</v>
      </c>
      <c r="U26">
        <f>85/25</f>
        <v>3.4</v>
      </c>
      <c r="W26">
        <v>5</v>
      </c>
      <c r="AA26">
        <f>410/4</f>
        <v>102.5</v>
      </c>
    </row>
    <row r="27" spans="1:27" x14ac:dyDescent="0.2">
      <c r="A27" s="7">
        <v>38629</v>
      </c>
      <c r="B27" s="30">
        <v>2005</v>
      </c>
      <c r="C27">
        <v>1</v>
      </c>
      <c r="D27">
        <v>16</v>
      </c>
      <c r="E27" t="s">
        <v>34</v>
      </c>
      <c r="F27" t="s">
        <v>17</v>
      </c>
      <c r="G27" t="s">
        <v>21</v>
      </c>
      <c r="H27">
        <v>300</v>
      </c>
      <c r="I27">
        <v>0</v>
      </c>
      <c r="J27">
        <v>0</v>
      </c>
      <c r="K27">
        <v>0</v>
      </c>
      <c r="L27">
        <v>3</v>
      </c>
      <c r="M27">
        <v>0</v>
      </c>
      <c r="N27">
        <v>0</v>
      </c>
      <c r="O27">
        <v>0</v>
      </c>
      <c r="P27">
        <v>3</v>
      </c>
      <c r="Q27">
        <v>0</v>
      </c>
      <c r="R27">
        <v>0</v>
      </c>
      <c r="S27">
        <f t="shared" si="0"/>
        <v>306</v>
      </c>
      <c r="T27">
        <v>3</v>
      </c>
      <c r="U27" s="8">
        <v>1.55</v>
      </c>
      <c r="V27">
        <v>21.66</v>
      </c>
      <c r="W27">
        <v>8.33</v>
      </c>
    </row>
    <row r="28" spans="1:27" x14ac:dyDescent="0.2">
      <c r="A28" s="7">
        <v>38629</v>
      </c>
      <c r="B28" s="30">
        <v>2005</v>
      </c>
      <c r="C28">
        <v>2</v>
      </c>
      <c r="D28">
        <v>16</v>
      </c>
      <c r="E28" t="s">
        <v>34</v>
      </c>
      <c r="F28" t="s">
        <v>17</v>
      </c>
      <c r="G28" t="s">
        <v>21</v>
      </c>
      <c r="H28">
        <v>153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f t="shared" si="0"/>
        <v>154</v>
      </c>
      <c r="T28">
        <v>2</v>
      </c>
      <c r="U28" s="8">
        <v>2.4500000000000002</v>
      </c>
      <c r="W28">
        <v>5</v>
      </c>
    </row>
    <row r="29" spans="1:27" x14ac:dyDescent="0.2">
      <c r="A29" s="7">
        <v>38629</v>
      </c>
      <c r="B29" s="30">
        <v>2005</v>
      </c>
      <c r="C29">
        <v>3</v>
      </c>
      <c r="D29">
        <v>16</v>
      </c>
      <c r="E29" t="s">
        <v>34</v>
      </c>
      <c r="F29" t="s">
        <v>14</v>
      </c>
      <c r="G29" t="s">
        <v>44</v>
      </c>
      <c r="H29">
        <v>123</v>
      </c>
      <c r="I29">
        <v>0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f t="shared" si="0"/>
        <v>124</v>
      </c>
      <c r="T29">
        <v>2</v>
      </c>
      <c r="U29" s="8">
        <v>4.0599999999999996</v>
      </c>
      <c r="V29">
        <v>5</v>
      </c>
      <c r="W29">
        <v>5</v>
      </c>
    </row>
    <row r="30" spans="1:27" x14ac:dyDescent="0.2">
      <c r="A30" s="7">
        <v>38629</v>
      </c>
      <c r="B30" s="30">
        <v>2005</v>
      </c>
      <c r="C30">
        <v>4</v>
      </c>
      <c r="D30">
        <v>16</v>
      </c>
      <c r="E30" t="s">
        <v>34</v>
      </c>
      <c r="F30" t="s">
        <v>14</v>
      </c>
      <c r="G30" t="s">
        <v>44</v>
      </c>
      <c r="H30">
        <v>161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2</v>
      </c>
      <c r="Q30">
        <v>0</v>
      </c>
      <c r="R30">
        <v>0</v>
      </c>
      <c r="S30">
        <f t="shared" si="0"/>
        <v>163</v>
      </c>
      <c r="T30">
        <v>2</v>
      </c>
      <c r="U30" s="8">
        <v>2.82</v>
      </c>
      <c r="W30">
        <v>5</v>
      </c>
    </row>
    <row r="31" spans="1:27" x14ac:dyDescent="0.2">
      <c r="A31" s="7">
        <v>38840</v>
      </c>
      <c r="B31" s="30">
        <v>2006</v>
      </c>
      <c r="C31">
        <v>1</v>
      </c>
      <c r="D31">
        <v>15</v>
      </c>
      <c r="E31" t="s">
        <v>33</v>
      </c>
      <c r="F31" t="s">
        <v>17</v>
      </c>
      <c r="G31" t="s">
        <v>21</v>
      </c>
      <c r="H31">
        <v>68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f t="shared" si="0"/>
        <v>68</v>
      </c>
      <c r="T31">
        <v>1</v>
      </c>
      <c r="U31" s="8">
        <v>2.94</v>
      </c>
    </row>
    <row r="32" spans="1:27" x14ac:dyDescent="0.2">
      <c r="A32" s="7">
        <v>38840</v>
      </c>
      <c r="B32" s="30">
        <v>2006</v>
      </c>
      <c r="C32">
        <v>2</v>
      </c>
      <c r="D32">
        <v>15</v>
      </c>
      <c r="E32" t="s">
        <v>33</v>
      </c>
      <c r="F32" t="s">
        <v>17</v>
      </c>
      <c r="G32" t="s">
        <v>21</v>
      </c>
      <c r="H32">
        <v>4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f t="shared" si="0"/>
        <v>5</v>
      </c>
      <c r="T32">
        <v>2</v>
      </c>
      <c r="U32" s="8">
        <v>2.5</v>
      </c>
      <c r="V32">
        <v>10</v>
      </c>
    </row>
    <row r="33" spans="1:28" x14ac:dyDescent="0.2">
      <c r="A33" s="7">
        <v>38840</v>
      </c>
      <c r="B33" s="30">
        <v>2006</v>
      </c>
      <c r="C33">
        <v>3</v>
      </c>
      <c r="D33">
        <v>13</v>
      </c>
      <c r="E33" t="s">
        <v>33</v>
      </c>
      <c r="F33" t="s">
        <v>14</v>
      </c>
      <c r="G33" t="s">
        <v>44</v>
      </c>
      <c r="H33">
        <v>373</v>
      </c>
      <c r="I33">
        <v>1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f t="shared" si="0"/>
        <v>375</v>
      </c>
      <c r="T33">
        <v>3</v>
      </c>
      <c r="U33" s="8">
        <v>2.27</v>
      </c>
      <c r="Z33" s="25" t="s">
        <v>73</v>
      </c>
      <c r="AA33">
        <f>SUBTOTAL(9,H33:H38)</f>
        <v>1020</v>
      </c>
    </row>
    <row r="34" spans="1:28" x14ac:dyDescent="0.2">
      <c r="A34" s="7">
        <v>38840</v>
      </c>
      <c r="B34" s="30">
        <v>2006</v>
      </c>
      <c r="C34">
        <v>4</v>
      </c>
      <c r="D34">
        <v>6</v>
      </c>
      <c r="E34" t="s">
        <v>33</v>
      </c>
      <c r="F34" t="s">
        <v>14</v>
      </c>
      <c r="G34" t="s">
        <v>44</v>
      </c>
      <c r="H34">
        <v>30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f t="shared" si="0"/>
        <v>30</v>
      </c>
      <c r="T34">
        <v>1</v>
      </c>
      <c r="U34" s="8">
        <v>2.16</v>
      </c>
      <c r="AA34">
        <f>826/4</f>
        <v>206.5</v>
      </c>
      <c r="AB34" s="37" t="s">
        <v>73</v>
      </c>
    </row>
    <row r="35" spans="1:28" x14ac:dyDescent="0.2">
      <c r="A35" s="7">
        <v>39028</v>
      </c>
      <c r="B35" s="30">
        <v>2006</v>
      </c>
      <c r="C35">
        <v>1</v>
      </c>
      <c r="D35">
        <v>17</v>
      </c>
      <c r="E35" t="s">
        <v>34</v>
      </c>
      <c r="F35" t="s">
        <v>17</v>
      </c>
      <c r="G35" t="s">
        <v>21</v>
      </c>
      <c r="H35">
        <v>92</v>
      </c>
      <c r="I35">
        <v>0</v>
      </c>
      <c r="J35">
        <v>1</v>
      </c>
      <c r="K35">
        <v>0</v>
      </c>
      <c r="L35">
        <v>1</v>
      </c>
      <c r="M35">
        <v>0</v>
      </c>
      <c r="N35">
        <v>0</v>
      </c>
      <c r="O35">
        <v>0</v>
      </c>
      <c r="P35">
        <v>2</v>
      </c>
      <c r="Q35">
        <v>0</v>
      </c>
      <c r="R35">
        <v>0</v>
      </c>
      <c r="S35">
        <f t="shared" si="0"/>
        <v>96</v>
      </c>
      <c r="T35">
        <v>4</v>
      </c>
      <c r="U35" s="8">
        <f>350/92</f>
        <v>3.8043478260869565</v>
      </c>
      <c r="V35">
        <v>5</v>
      </c>
      <c r="W35">
        <v>10</v>
      </c>
      <c r="AB35" s="37">
        <v>13</v>
      </c>
    </row>
    <row r="36" spans="1:28" x14ac:dyDescent="0.2">
      <c r="A36" s="7">
        <v>39028</v>
      </c>
      <c r="B36" s="30">
        <v>2006</v>
      </c>
      <c r="C36">
        <v>2</v>
      </c>
      <c r="D36">
        <v>19.5</v>
      </c>
      <c r="E36" t="s">
        <v>34</v>
      </c>
      <c r="F36" t="s">
        <v>17</v>
      </c>
      <c r="G36" t="s">
        <v>21</v>
      </c>
      <c r="H36">
        <v>102</v>
      </c>
      <c r="I36">
        <v>0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2</v>
      </c>
      <c r="Q36">
        <v>0</v>
      </c>
      <c r="R36">
        <v>0</v>
      </c>
      <c r="S36">
        <f t="shared" si="0"/>
        <v>105</v>
      </c>
      <c r="T36">
        <v>3</v>
      </c>
      <c r="U36" s="8">
        <f>220/102</f>
        <v>2.1568627450980391</v>
      </c>
      <c r="W36">
        <v>2.5</v>
      </c>
      <c r="AB36" s="37">
        <v>78</v>
      </c>
    </row>
    <row r="37" spans="1:28" x14ac:dyDescent="0.2">
      <c r="A37" s="7">
        <v>39028</v>
      </c>
      <c r="B37" s="30">
        <v>2006</v>
      </c>
      <c r="C37">
        <v>3</v>
      </c>
      <c r="D37">
        <v>19.5</v>
      </c>
      <c r="E37" t="s">
        <v>34</v>
      </c>
      <c r="F37" t="s">
        <v>14</v>
      </c>
      <c r="G37" t="s">
        <v>44</v>
      </c>
      <c r="H37">
        <v>68</v>
      </c>
      <c r="I37">
        <v>0</v>
      </c>
      <c r="J37">
        <v>5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f t="shared" si="0"/>
        <v>73</v>
      </c>
      <c r="T37">
        <v>2</v>
      </c>
      <c r="U37" s="8">
        <f>290/68</f>
        <v>4.2647058823529411</v>
      </c>
      <c r="AB37" s="37" t="s">
        <v>73</v>
      </c>
    </row>
    <row r="38" spans="1:28" x14ac:dyDescent="0.2">
      <c r="A38" s="7">
        <v>39028</v>
      </c>
      <c r="B38" s="30">
        <v>2006</v>
      </c>
      <c r="C38">
        <v>4</v>
      </c>
      <c r="D38">
        <v>19.5</v>
      </c>
      <c r="E38" t="s">
        <v>34</v>
      </c>
      <c r="F38" t="s">
        <v>14</v>
      </c>
      <c r="G38" t="s">
        <v>44</v>
      </c>
      <c r="H38">
        <v>355</v>
      </c>
      <c r="I38">
        <v>0</v>
      </c>
      <c r="J38"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f t="shared" si="0"/>
        <v>356</v>
      </c>
      <c r="T38">
        <v>2</v>
      </c>
      <c r="U38" s="8">
        <f>450/355</f>
        <v>1.267605633802817</v>
      </c>
      <c r="Z38" s="37" t="s">
        <v>73</v>
      </c>
    </row>
    <row r="39" spans="1:28" x14ac:dyDescent="0.2">
      <c r="A39" s="7">
        <v>39386</v>
      </c>
      <c r="B39" s="30">
        <v>2007</v>
      </c>
      <c r="C39">
        <v>1</v>
      </c>
      <c r="D39">
        <v>20.5</v>
      </c>
      <c r="E39" t="s">
        <v>34</v>
      </c>
      <c r="F39" t="s">
        <v>17</v>
      </c>
      <c r="G39" t="s">
        <v>21</v>
      </c>
      <c r="H39">
        <v>325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1</v>
      </c>
      <c r="Q39">
        <v>0</v>
      </c>
      <c r="R39">
        <v>0</v>
      </c>
      <c r="S39">
        <v>133</v>
      </c>
      <c r="T39">
        <v>2</v>
      </c>
      <c r="U39" s="8">
        <v>2.4</v>
      </c>
      <c r="W39">
        <v>5</v>
      </c>
      <c r="Z39" s="37">
        <v>13</v>
      </c>
    </row>
    <row r="40" spans="1:28" x14ac:dyDescent="0.2">
      <c r="A40" s="7">
        <v>39386</v>
      </c>
      <c r="B40" s="30">
        <v>2007</v>
      </c>
      <c r="C40">
        <v>2</v>
      </c>
      <c r="D40">
        <v>20.5</v>
      </c>
      <c r="E40" t="s">
        <v>34</v>
      </c>
      <c r="F40" t="s">
        <v>17</v>
      </c>
      <c r="G40" t="s">
        <v>21</v>
      </c>
      <c r="H40">
        <v>300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1</v>
      </c>
      <c r="Q40">
        <v>0</v>
      </c>
      <c r="R40">
        <v>0</v>
      </c>
      <c r="S40">
        <v>153</v>
      </c>
      <c r="T40">
        <v>2</v>
      </c>
      <c r="U40" s="8">
        <v>1.96</v>
      </c>
      <c r="W40">
        <v>1</v>
      </c>
      <c r="Z40" s="37">
        <v>78</v>
      </c>
    </row>
    <row r="41" spans="1:28" x14ac:dyDescent="0.2">
      <c r="A41" s="7">
        <v>39386</v>
      </c>
      <c r="B41" s="30">
        <v>2007</v>
      </c>
      <c r="C41">
        <v>3</v>
      </c>
      <c r="D41">
        <v>20.5</v>
      </c>
      <c r="E41" t="s">
        <v>34</v>
      </c>
      <c r="F41" t="s">
        <v>14</v>
      </c>
      <c r="G41" t="s">
        <v>44</v>
      </c>
      <c r="H41">
        <v>680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2</v>
      </c>
      <c r="Q41">
        <v>0</v>
      </c>
      <c r="R41">
        <v>0</v>
      </c>
      <c r="S41">
        <v>184</v>
      </c>
      <c r="T41">
        <v>2</v>
      </c>
      <c r="U41" s="8">
        <v>3.69</v>
      </c>
      <c r="W41">
        <v>12.5</v>
      </c>
      <c r="Z41" s="37" t="s">
        <v>73</v>
      </c>
    </row>
    <row r="42" spans="1:28" x14ac:dyDescent="0.2">
      <c r="A42" s="7">
        <v>39386</v>
      </c>
      <c r="B42" s="30">
        <v>2007</v>
      </c>
      <c r="C42">
        <v>4</v>
      </c>
      <c r="D42">
        <v>20.5</v>
      </c>
      <c r="E42" t="s">
        <v>34</v>
      </c>
      <c r="F42" t="s">
        <v>14</v>
      </c>
      <c r="G42" t="s">
        <v>44</v>
      </c>
      <c r="H42">
        <v>656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236</v>
      </c>
      <c r="T42">
        <v>1</v>
      </c>
      <c r="U42" s="8">
        <v>2.77</v>
      </c>
      <c r="W42">
        <v>2.77</v>
      </c>
    </row>
    <row r="43" spans="1:28" x14ac:dyDescent="0.2">
      <c r="A43" s="7">
        <v>39752</v>
      </c>
      <c r="B43" s="30">
        <v>2008</v>
      </c>
      <c r="C43">
        <v>1</v>
      </c>
      <c r="D43">
        <v>20.5</v>
      </c>
      <c r="E43" t="s">
        <v>34</v>
      </c>
      <c r="F43" t="s">
        <v>17</v>
      </c>
      <c r="G43" t="s">
        <v>21</v>
      </c>
      <c r="H43">
        <v>133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f t="shared" si="0"/>
        <v>134</v>
      </c>
      <c r="T43">
        <v>2</v>
      </c>
      <c r="U43" s="8">
        <f>325/133</f>
        <v>2.4436090225563909</v>
      </c>
      <c r="W43">
        <v>5</v>
      </c>
    </row>
    <row r="44" spans="1:28" x14ac:dyDescent="0.2">
      <c r="A44" s="7">
        <v>39752</v>
      </c>
      <c r="B44" s="30">
        <v>2008</v>
      </c>
      <c r="C44">
        <v>2</v>
      </c>
      <c r="D44">
        <v>20.5</v>
      </c>
      <c r="E44" t="s">
        <v>34</v>
      </c>
      <c r="F44" t="s">
        <v>17</v>
      </c>
      <c r="G44" t="s">
        <v>21</v>
      </c>
      <c r="H44">
        <v>153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f t="shared" si="0"/>
        <v>154</v>
      </c>
      <c r="T44">
        <v>2</v>
      </c>
      <c r="U44" s="8">
        <f>300/153</f>
        <v>1.9607843137254901</v>
      </c>
      <c r="W44">
        <v>1</v>
      </c>
    </row>
    <row r="45" spans="1:28" x14ac:dyDescent="0.2">
      <c r="A45" s="7">
        <v>39752</v>
      </c>
      <c r="B45" s="30">
        <v>2008</v>
      </c>
      <c r="C45">
        <v>3</v>
      </c>
      <c r="D45">
        <v>20.5</v>
      </c>
      <c r="E45" t="s">
        <v>34</v>
      </c>
      <c r="F45" t="s">
        <v>14</v>
      </c>
      <c r="G45" t="s">
        <v>44</v>
      </c>
      <c r="H45">
        <v>184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2</v>
      </c>
      <c r="Q45">
        <v>0</v>
      </c>
      <c r="R45">
        <v>0</v>
      </c>
      <c r="S45">
        <f t="shared" si="0"/>
        <v>186</v>
      </c>
      <c r="T45">
        <v>2</v>
      </c>
      <c r="U45" s="8">
        <f>680/184</f>
        <v>3.6956521739130435</v>
      </c>
      <c r="W45">
        <v>12.5</v>
      </c>
    </row>
    <row r="46" spans="1:28" x14ac:dyDescent="0.2">
      <c r="A46" s="7">
        <v>39752</v>
      </c>
      <c r="B46" s="30">
        <v>2008</v>
      </c>
      <c r="C46">
        <v>4</v>
      </c>
      <c r="D46">
        <v>20.5</v>
      </c>
      <c r="E46" t="s">
        <v>34</v>
      </c>
      <c r="F46" t="s">
        <v>14</v>
      </c>
      <c r="G46" t="s">
        <v>44</v>
      </c>
      <c r="H46">
        <v>236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f t="shared" si="0"/>
        <v>236</v>
      </c>
      <c r="T46">
        <v>1</v>
      </c>
      <c r="U46" s="8">
        <f>656/236</f>
        <v>2.7796610169491527</v>
      </c>
      <c r="AA46">
        <f>SUBTOTAL(9,H41:H42)</f>
        <v>1336</v>
      </c>
    </row>
    <row r="47" spans="1:28" x14ac:dyDescent="0.2">
      <c r="A47" s="7">
        <v>39744</v>
      </c>
      <c r="B47" s="30">
        <v>2008</v>
      </c>
      <c r="C47">
        <v>1</v>
      </c>
      <c r="D47">
        <v>23.5</v>
      </c>
      <c r="E47" t="s">
        <v>34</v>
      </c>
      <c r="F47" t="s">
        <v>17</v>
      </c>
      <c r="G47" t="s">
        <v>21</v>
      </c>
      <c r="H47">
        <v>72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12</v>
      </c>
      <c r="Q47">
        <v>0</v>
      </c>
      <c r="R47">
        <v>0</v>
      </c>
      <c r="S47">
        <f t="shared" si="0"/>
        <v>84</v>
      </c>
      <c r="T47">
        <v>2</v>
      </c>
      <c r="U47">
        <f>200/72</f>
        <v>2.7777777777777777</v>
      </c>
    </row>
    <row r="48" spans="1:28" x14ac:dyDescent="0.2">
      <c r="A48" s="7">
        <v>39744</v>
      </c>
      <c r="B48" s="30">
        <v>2008</v>
      </c>
      <c r="C48">
        <v>2</v>
      </c>
      <c r="D48">
        <v>24</v>
      </c>
      <c r="E48" t="s">
        <v>34</v>
      </c>
      <c r="F48" t="s">
        <v>17</v>
      </c>
      <c r="G48" t="s">
        <v>21</v>
      </c>
      <c r="H48">
        <v>12</v>
      </c>
      <c r="I48">
        <v>0</v>
      </c>
      <c r="J48">
        <v>0</v>
      </c>
      <c r="K48">
        <v>0</v>
      </c>
      <c r="L48">
        <v>0</v>
      </c>
      <c r="M48">
        <v>0</v>
      </c>
      <c r="N48">
        <v>1</v>
      </c>
      <c r="O48">
        <v>0</v>
      </c>
      <c r="P48">
        <v>5</v>
      </c>
      <c r="Q48">
        <v>0</v>
      </c>
      <c r="R48">
        <v>0</v>
      </c>
      <c r="S48">
        <f t="shared" si="0"/>
        <v>18</v>
      </c>
      <c r="T48">
        <v>3</v>
      </c>
      <c r="U48">
        <f>37/12</f>
        <v>3.0833333333333335</v>
      </c>
      <c r="Y48" t="s">
        <v>50</v>
      </c>
    </row>
    <row r="49" spans="1:27" x14ac:dyDescent="0.2">
      <c r="A49" s="7">
        <v>39744</v>
      </c>
      <c r="B49" s="30">
        <v>2008</v>
      </c>
      <c r="C49">
        <v>3</v>
      </c>
      <c r="D49">
        <v>23.5</v>
      </c>
      <c r="E49" t="s">
        <v>34</v>
      </c>
      <c r="F49" t="s">
        <v>14</v>
      </c>
      <c r="G49" t="s">
        <v>44</v>
      </c>
      <c r="H49">
        <v>70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67</v>
      </c>
      <c r="Q49">
        <v>0</v>
      </c>
      <c r="R49">
        <v>0</v>
      </c>
      <c r="S49">
        <f t="shared" si="0"/>
        <v>137</v>
      </c>
      <c r="T49">
        <v>2</v>
      </c>
      <c r="U49">
        <f>250/70</f>
        <v>3.5714285714285716</v>
      </c>
      <c r="AA49">
        <f>1336/2</f>
        <v>668</v>
      </c>
    </row>
    <row r="50" spans="1:27" x14ac:dyDescent="0.2">
      <c r="A50" s="7">
        <v>39744</v>
      </c>
      <c r="B50" s="30">
        <v>2008</v>
      </c>
      <c r="C50">
        <v>4</v>
      </c>
      <c r="D50">
        <v>23.5</v>
      </c>
      <c r="E50" t="s">
        <v>34</v>
      </c>
      <c r="F50" t="s">
        <v>14</v>
      </c>
      <c r="G50" t="s">
        <v>44</v>
      </c>
      <c r="H50">
        <v>201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11</v>
      </c>
      <c r="Q50">
        <v>0</v>
      </c>
      <c r="R50">
        <v>0</v>
      </c>
      <c r="S50">
        <f t="shared" si="0"/>
        <v>212</v>
      </c>
      <c r="T50">
        <v>2</v>
      </c>
      <c r="U50">
        <f>460/201</f>
        <v>2.2885572139303481</v>
      </c>
    </row>
    <row r="51" spans="1:27" x14ac:dyDescent="0.2">
      <c r="A51" s="7">
        <v>40121</v>
      </c>
      <c r="B51" s="30">
        <v>2009</v>
      </c>
      <c r="C51">
        <v>1</v>
      </c>
      <c r="D51">
        <v>24</v>
      </c>
      <c r="E51" t="s">
        <v>34</v>
      </c>
      <c r="F51" t="s">
        <v>17</v>
      </c>
      <c r="G51" t="s">
        <v>21</v>
      </c>
      <c r="H51">
        <v>31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59</v>
      </c>
      <c r="Q51">
        <v>1</v>
      </c>
      <c r="R51">
        <v>0</v>
      </c>
      <c r="S51">
        <f t="shared" si="0"/>
        <v>91</v>
      </c>
      <c r="T51">
        <v>3</v>
      </c>
      <c r="U51">
        <f>155/31</f>
        <v>5</v>
      </c>
      <c r="W51">
        <f>265/59</f>
        <v>4.4915254237288131</v>
      </c>
      <c r="Y51" s="25" t="s">
        <v>54</v>
      </c>
    </row>
    <row r="52" spans="1:27" x14ac:dyDescent="0.2">
      <c r="A52" s="7">
        <v>40121</v>
      </c>
      <c r="B52" s="30">
        <v>2009</v>
      </c>
      <c r="C52">
        <v>2</v>
      </c>
      <c r="D52">
        <v>24</v>
      </c>
      <c r="E52" t="s">
        <v>34</v>
      </c>
      <c r="F52" t="s">
        <v>17</v>
      </c>
      <c r="G52" t="s">
        <v>21</v>
      </c>
      <c r="H52">
        <v>13</v>
      </c>
      <c r="I52">
        <v>0</v>
      </c>
      <c r="J52">
        <v>0</v>
      </c>
      <c r="K52">
        <v>0</v>
      </c>
      <c r="L52">
        <v>0</v>
      </c>
      <c r="M52">
        <v>0</v>
      </c>
      <c r="N52">
        <v>6</v>
      </c>
      <c r="O52">
        <v>0</v>
      </c>
      <c r="P52">
        <v>9</v>
      </c>
      <c r="Q52">
        <v>0</v>
      </c>
      <c r="R52">
        <v>0</v>
      </c>
      <c r="S52">
        <f t="shared" si="0"/>
        <v>28</v>
      </c>
      <c r="T52">
        <v>3</v>
      </c>
      <c r="U52">
        <f>85/13</f>
        <v>6.5384615384615383</v>
      </c>
      <c r="W52">
        <f>40/9</f>
        <v>4.4444444444444446</v>
      </c>
    </row>
    <row r="53" spans="1:27" x14ac:dyDescent="0.2">
      <c r="A53" s="7">
        <v>40121</v>
      </c>
      <c r="B53" s="30">
        <v>2009</v>
      </c>
      <c r="C53">
        <v>3</v>
      </c>
      <c r="D53">
        <v>24</v>
      </c>
      <c r="E53" t="s">
        <v>34</v>
      </c>
      <c r="F53" t="s">
        <v>14</v>
      </c>
      <c r="G53" t="s">
        <v>44</v>
      </c>
      <c r="H53">
        <v>8</v>
      </c>
      <c r="I53">
        <v>0</v>
      </c>
      <c r="J53">
        <v>1</v>
      </c>
      <c r="K53">
        <v>0</v>
      </c>
      <c r="L53">
        <v>0</v>
      </c>
      <c r="M53">
        <v>0</v>
      </c>
      <c r="N53">
        <v>9</v>
      </c>
      <c r="O53">
        <v>0</v>
      </c>
      <c r="P53">
        <v>2</v>
      </c>
      <c r="Q53">
        <v>0</v>
      </c>
      <c r="R53">
        <v>0</v>
      </c>
      <c r="S53">
        <f t="shared" si="0"/>
        <v>20</v>
      </c>
      <c r="T53">
        <v>4</v>
      </c>
      <c r="U53">
        <v>5</v>
      </c>
      <c r="W53">
        <v>2.5</v>
      </c>
    </row>
    <row r="54" spans="1:27" x14ac:dyDescent="0.2">
      <c r="A54" s="7">
        <v>40469</v>
      </c>
      <c r="B54" s="30">
        <v>2010</v>
      </c>
      <c r="C54">
        <v>1</v>
      </c>
      <c r="D54">
        <v>26</v>
      </c>
      <c r="E54" t="s">
        <v>34</v>
      </c>
      <c r="F54" t="s">
        <v>17</v>
      </c>
      <c r="G54" t="s">
        <v>21</v>
      </c>
      <c r="H54">
        <v>93</v>
      </c>
      <c r="I54">
        <v>0</v>
      </c>
      <c r="J54">
        <v>0</v>
      </c>
      <c r="K54">
        <v>0</v>
      </c>
      <c r="L54">
        <v>0</v>
      </c>
      <c r="M54">
        <v>0</v>
      </c>
      <c r="N54">
        <v>4</v>
      </c>
      <c r="O54">
        <v>0</v>
      </c>
      <c r="Q54">
        <v>0</v>
      </c>
      <c r="R54">
        <v>0</v>
      </c>
      <c r="S54">
        <f t="shared" si="0"/>
        <v>97</v>
      </c>
      <c r="T54">
        <v>2</v>
      </c>
      <c r="U54">
        <v>2.6</v>
      </c>
    </row>
    <row r="55" spans="1:27" x14ac:dyDescent="0.2">
      <c r="A55" s="7">
        <v>40469</v>
      </c>
      <c r="B55" s="30">
        <v>2010</v>
      </c>
      <c r="C55">
        <v>2</v>
      </c>
      <c r="D55">
        <v>26</v>
      </c>
      <c r="E55" t="s">
        <v>34</v>
      </c>
      <c r="F55" t="s">
        <v>17</v>
      </c>
      <c r="G55" t="s">
        <v>21</v>
      </c>
      <c r="H55">
        <v>7</v>
      </c>
      <c r="I55">
        <v>0</v>
      </c>
      <c r="J55">
        <v>0</v>
      </c>
      <c r="K55">
        <v>0</v>
      </c>
      <c r="L55">
        <v>0</v>
      </c>
      <c r="M55">
        <v>0</v>
      </c>
      <c r="N55">
        <v>2</v>
      </c>
      <c r="O55">
        <v>0</v>
      </c>
      <c r="P55">
        <v>2</v>
      </c>
      <c r="Q55">
        <v>0</v>
      </c>
      <c r="R55">
        <v>0</v>
      </c>
      <c r="S55">
        <f t="shared" si="0"/>
        <v>11</v>
      </c>
      <c r="T55">
        <v>3</v>
      </c>
      <c r="U55">
        <v>3.4</v>
      </c>
      <c r="W55">
        <v>1</v>
      </c>
    </row>
    <row r="56" spans="1:27" x14ac:dyDescent="0.2">
      <c r="A56" s="7">
        <v>40469</v>
      </c>
      <c r="B56" s="30">
        <v>2010</v>
      </c>
      <c r="C56">
        <v>3</v>
      </c>
      <c r="D56">
        <v>26</v>
      </c>
      <c r="E56" t="s">
        <v>34</v>
      </c>
      <c r="F56" t="s">
        <v>14</v>
      </c>
      <c r="G56" t="s">
        <v>44</v>
      </c>
      <c r="H56">
        <v>140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f t="shared" si="0"/>
        <v>141</v>
      </c>
      <c r="T56">
        <v>2</v>
      </c>
      <c r="U56">
        <v>4</v>
      </c>
      <c r="W56">
        <v>5</v>
      </c>
    </row>
    <row r="57" spans="1:27" x14ac:dyDescent="0.2">
      <c r="A57" s="7">
        <v>40469</v>
      </c>
      <c r="B57" s="30">
        <v>2010</v>
      </c>
      <c r="C57">
        <v>4</v>
      </c>
      <c r="D57">
        <v>26</v>
      </c>
      <c r="E57" t="s">
        <v>34</v>
      </c>
      <c r="F57" t="s">
        <v>14</v>
      </c>
      <c r="G57" t="s">
        <v>44</v>
      </c>
      <c r="H57">
        <v>269</v>
      </c>
      <c r="I57">
        <v>0</v>
      </c>
      <c r="J57">
        <v>0</v>
      </c>
      <c r="K57">
        <v>0</v>
      </c>
      <c r="L57">
        <v>0</v>
      </c>
      <c r="M57">
        <v>0</v>
      </c>
      <c r="N57">
        <v>1</v>
      </c>
      <c r="O57">
        <v>0</v>
      </c>
      <c r="P57">
        <v>1</v>
      </c>
      <c r="Q57">
        <v>1</v>
      </c>
      <c r="R57">
        <v>0</v>
      </c>
      <c r="S57">
        <f t="shared" si="0"/>
        <v>272</v>
      </c>
      <c r="T57">
        <v>4</v>
      </c>
      <c r="U57">
        <v>2.16</v>
      </c>
      <c r="W57">
        <v>5</v>
      </c>
    </row>
    <row r="58" spans="1:27" x14ac:dyDescent="0.2">
      <c r="A58" s="7">
        <v>40862</v>
      </c>
      <c r="B58" s="30">
        <v>2011</v>
      </c>
      <c r="C58">
        <v>1</v>
      </c>
      <c r="D58">
        <v>27.5</v>
      </c>
      <c r="E58" t="s">
        <v>34</v>
      </c>
      <c r="F58" t="s">
        <v>17</v>
      </c>
      <c r="G58" t="s">
        <v>21</v>
      </c>
      <c r="H58">
        <v>52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5</v>
      </c>
      <c r="Q58">
        <v>0</v>
      </c>
      <c r="R58">
        <v>0</v>
      </c>
      <c r="S58">
        <f t="shared" si="0"/>
        <v>58</v>
      </c>
      <c r="T58">
        <v>3</v>
      </c>
      <c r="U58">
        <f>160/52</f>
        <v>3.0769230769230771</v>
      </c>
      <c r="W58">
        <v>5</v>
      </c>
    </row>
    <row r="59" spans="1:27" x14ac:dyDescent="0.2">
      <c r="A59" s="7">
        <v>40862</v>
      </c>
      <c r="B59" s="30">
        <v>2011</v>
      </c>
      <c r="C59">
        <v>2</v>
      </c>
      <c r="D59">
        <v>27.5</v>
      </c>
      <c r="E59" t="s">
        <v>34</v>
      </c>
      <c r="F59" t="s">
        <v>17</v>
      </c>
      <c r="G59" t="s">
        <v>21</v>
      </c>
      <c r="H59">
        <v>40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Q59">
        <v>0</v>
      </c>
      <c r="R59">
        <v>0</v>
      </c>
      <c r="S59">
        <f t="shared" si="0"/>
        <v>40</v>
      </c>
      <c r="T59">
        <v>1</v>
      </c>
      <c r="U59">
        <f>40/18</f>
        <v>2.2222222222222223</v>
      </c>
    </row>
    <row r="60" spans="1:27" x14ac:dyDescent="0.2">
      <c r="A60" s="7">
        <v>40862</v>
      </c>
      <c r="B60" s="30">
        <v>2011</v>
      </c>
      <c r="C60">
        <v>3</v>
      </c>
      <c r="D60">
        <v>27.5</v>
      </c>
      <c r="E60" t="s">
        <v>34</v>
      </c>
      <c r="F60" t="s">
        <v>14</v>
      </c>
      <c r="G60" t="s">
        <v>44</v>
      </c>
      <c r="H60">
        <v>207</v>
      </c>
      <c r="I60">
        <v>0</v>
      </c>
      <c r="J60">
        <v>0</v>
      </c>
      <c r="K60">
        <v>0</v>
      </c>
      <c r="L60">
        <v>2</v>
      </c>
      <c r="M60">
        <v>0</v>
      </c>
      <c r="N60">
        <v>0</v>
      </c>
      <c r="O60">
        <v>0</v>
      </c>
      <c r="P60">
        <v>7</v>
      </c>
      <c r="Q60">
        <v>0</v>
      </c>
      <c r="R60">
        <v>0</v>
      </c>
      <c r="S60">
        <f t="shared" si="0"/>
        <v>216</v>
      </c>
      <c r="T60">
        <v>3</v>
      </c>
      <c r="U60">
        <f>880/207</f>
        <v>4.2512077294685993</v>
      </c>
      <c r="V60">
        <v>7.5</v>
      </c>
      <c r="W60">
        <f>25/7</f>
        <v>3.5714285714285716</v>
      </c>
    </row>
    <row r="61" spans="1:27" x14ac:dyDescent="0.2">
      <c r="A61" s="7">
        <v>40862</v>
      </c>
      <c r="B61" s="30">
        <v>2011</v>
      </c>
      <c r="C61">
        <v>4</v>
      </c>
      <c r="D61">
        <v>27.5</v>
      </c>
      <c r="E61" t="s">
        <v>34</v>
      </c>
      <c r="F61" t="s">
        <v>14</v>
      </c>
      <c r="G61" t="s">
        <v>44</v>
      </c>
      <c r="H61">
        <v>260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5</v>
      </c>
      <c r="Q61">
        <v>0</v>
      </c>
      <c r="R61">
        <v>0</v>
      </c>
      <c r="S61">
        <f t="shared" si="0"/>
        <v>265</v>
      </c>
      <c r="T61">
        <v>2</v>
      </c>
      <c r="U61">
        <f>790/260</f>
        <v>3.0384615384615383</v>
      </c>
      <c r="W61">
        <f>18/5</f>
        <v>3.6</v>
      </c>
    </row>
    <row r="62" spans="1:27" x14ac:dyDescent="0.2">
      <c r="A62" s="7">
        <v>41183</v>
      </c>
      <c r="B62" s="30">
        <v>2012</v>
      </c>
      <c r="C62">
        <v>1</v>
      </c>
      <c r="D62">
        <v>20.5</v>
      </c>
      <c r="E62" t="s">
        <v>34</v>
      </c>
      <c r="F62" t="s">
        <v>17</v>
      </c>
      <c r="G62" t="s">
        <v>21</v>
      </c>
      <c r="H62">
        <v>253</v>
      </c>
      <c r="I62">
        <v>0</v>
      </c>
      <c r="J62">
        <v>0</v>
      </c>
      <c r="K62">
        <v>0</v>
      </c>
      <c r="L62">
        <v>0</v>
      </c>
      <c r="M62">
        <v>3</v>
      </c>
      <c r="N62">
        <v>0</v>
      </c>
      <c r="O62">
        <v>0</v>
      </c>
      <c r="P62">
        <v>2</v>
      </c>
      <c r="Q62">
        <v>0</v>
      </c>
      <c r="R62">
        <v>0</v>
      </c>
      <c r="S62">
        <f t="shared" si="0"/>
        <v>258</v>
      </c>
      <c r="T62">
        <v>3</v>
      </c>
      <c r="U62">
        <f>460/253</f>
        <v>1.8181818181818181</v>
      </c>
      <c r="W62">
        <f>4/2</f>
        <v>2</v>
      </c>
    </row>
    <row r="63" spans="1:27" x14ac:dyDescent="0.2">
      <c r="A63" s="7">
        <v>41183</v>
      </c>
      <c r="B63" s="30">
        <v>2012</v>
      </c>
      <c r="C63">
        <v>2</v>
      </c>
      <c r="D63">
        <v>20.5</v>
      </c>
      <c r="E63" t="s">
        <v>34</v>
      </c>
      <c r="F63" t="s">
        <v>17</v>
      </c>
      <c r="G63" t="s">
        <v>21</v>
      </c>
      <c r="H63">
        <v>193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f t="shared" si="0"/>
        <v>194</v>
      </c>
      <c r="T63">
        <v>2</v>
      </c>
      <c r="U63">
        <f>300/193</f>
        <v>1.5544041450777202</v>
      </c>
      <c r="W63">
        <v>5</v>
      </c>
    </row>
    <row r="64" spans="1:27" x14ac:dyDescent="0.2">
      <c r="A64" s="7">
        <v>41183</v>
      </c>
      <c r="B64" s="30">
        <v>2012</v>
      </c>
      <c r="C64">
        <v>3</v>
      </c>
      <c r="D64">
        <v>20.5</v>
      </c>
      <c r="E64" t="s">
        <v>34</v>
      </c>
      <c r="F64" t="s">
        <v>14</v>
      </c>
      <c r="G64" t="s">
        <v>44</v>
      </c>
      <c r="H64">
        <v>124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2</v>
      </c>
      <c r="Q64">
        <v>0</v>
      </c>
      <c r="R64">
        <v>0</v>
      </c>
      <c r="S64">
        <f t="shared" si="0"/>
        <v>126</v>
      </c>
      <c r="T64">
        <v>2</v>
      </c>
      <c r="U64">
        <f>440/124</f>
        <v>3.5483870967741935</v>
      </c>
      <c r="W64">
        <v>5</v>
      </c>
    </row>
    <row r="65" spans="1:30" x14ac:dyDescent="0.2">
      <c r="A65" s="7">
        <v>41183</v>
      </c>
      <c r="B65" s="30">
        <v>2012</v>
      </c>
      <c r="C65">
        <v>4</v>
      </c>
      <c r="D65">
        <v>16.5</v>
      </c>
      <c r="E65" t="s">
        <v>34</v>
      </c>
      <c r="F65" t="s">
        <v>14</v>
      </c>
      <c r="G65" t="s">
        <v>44</v>
      </c>
      <c r="H65">
        <v>72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13</v>
      </c>
      <c r="Q65">
        <v>0</v>
      </c>
      <c r="R65">
        <v>0</v>
      </c>
      <c r="S65">
        <f t="shared" si="0"/>
        <v>85</v>
      </c>
      <c r="T65">
        <v>2</v>
      </c>
      <c r="U65">
        <f>348/72</f>
        <v>4.833333333333333</v>
      </c>
      <c r="W65">
        <f>100/13</f>
        <v>7.6923076923076925</v>
      </c>
    </row>
    <row r="66" spans="1:30" x14ac:dyDescent="0.2">
      <c r="A66" s="7">
        <v>41575</v>
      </c>
      <c r="B66" s="30">
        <v>2013</v>
      </c>
      <c r="C66">
        <v>1</v>
      </c>
      <c r="D66">
        <v>26</v>
      </c>
      <c r="E66" t="s">
        <v>34</v>
      </c>
      <c r="F66" t="s">
        <v>17</v>
      </c>
      <c r="G66" t="s">
        <v>21</v>
      </c>
      <c r="H66">
        <v>4</v>
      </c>
      <c r="I66">
        <v>0</v>
      </c>
      <c r="J66">
        <v>0</v>
      </c>
      <c r="K66">
        <v>0</v>
      </c>
      <c r="L66">
        <v>0</v>
      </c>
      <c r="M66">
        <v>8</v>
      </c>
      <c r="N66">
        <v>0</v>
      </c>
      <c r="O66">
        <v>0</v>
      </c>
      <c r="P66">
        <v>0</v>
      </c>
      <c r="Q66">
        <v>0</v>
      </c>
      <c r="R66">
        <v>0</v>
      </c>
      <c r="S66">
        <v>12</v>
      </c>
      <c r="T66">
        <v>2</v>
      </c>
      <c r="U66">
        <v>2.5</v>
      </c>
    </row>
    <row r="67" spans="1:30" x14ac:dyDescent="0.2">
      <c r="A67" s="7">
        <v>41575</v>
      </c>
      <c r="B67" s="30">
        <v>2013</v>
      </c>
      <c r="C67">
        <v>2</v>
      </c>
      <c r="D67">
        <v>26</v>
      </c>
      <c r="E67" t="s">
        <v>34</v>
      </c>
      <c r="F67" t="s">
        <v>17</v>
      </c>
      <c r="G67" t="s">
        <v>21</v>
      </c>
      <c r="H67">
        <v>4</v>
      </c>
      <c r="I67">
        <v>0</v>
      </c>
      <c r="J67">
        <v>0</v>
      </c>
      <c r="K67">
        <v>0</v>
      </c>
      <c r="L67">
        <v>0</v>
      </c>
      <c r="M67">
        <v>10</v>
      </c>
      <c r="N67">
        <v>0</v>
      </c>
      <c r="O67">
        <v>0</v>
      </c>
      <c r="P67">
        <v>0</v>
      </c>
      <c r="Q67">
        <v>0</v>
      </c>
      <c r="R67">
        <v>0</v>
      </c>
      <c r="S67">
        <v>14</v>
      </c>
      <c r="T67">
        <v>2</v>
      </c>
      <c r="U67">
        <v>2.5</v>
      </c>
    </row>
    <row r="68" spans="1:30" x14ac:dyDescent="0.2">
      <c r="A68" s="7">
        <v>41575</v>
      </c>
      <c r="B68" s="30">
        <v>2013</v>
      </c>
      <c r="C68">
        <v>3</v>
      </c>
      <c r="D68">
        <v>26</v>
      </c>
      <c r="E68" t="s">
        <v>34</v>
      </c>
      <c r="F68" t="s">
        <v>14</v>
      </c>
      <c r="G68" t="s">
        <v>44</v>
      </c>
      <c r="H68">
        <v>46</v>
      </c>
      <c r="I68">
        <v>0</v>
      </c>
      <c r="J68">
        <v>0</v>
      </c>
      <c r="K68">
        <v>0</v>
      </c>
      <c r="L68">
        <v>0</v>
      </c>
      <c r="M68">
        <v>1</v>
      </c>
      <c r="N68">
        <v>0</v>
      </c>
      <c r="O68">
        <v>0</v>
      </c>
      <c r="P68">
        <v>0</v>
      </c>
      <c r="Q68">
        <v>0</v>
      </c>
      <c r="R68">
        <v>0</v>
      </c>
      <c r="S68">
        <v>47</v>
      </c>
      <c r="T68">
        <v>2</v>
      </c>
      <c r="U68" s="8">
        <f>158/46</f>
        <v>3.4347826086956523</v>
      </c>
    </row>
    <row r="69" spans="1:30" x14ac:dyDescent="0.2">
      <c r="A69" s="7">
        <v>41575</v>
      </c>
      <c r="B69" s="30">
        <v>2013</v>
      </c>
      <c r="C69">
        <v>4</v>
      </c>
      <c r="D69">
        <v>26</v>
      </c>
      <c r="E69" t="s">
        <v>34</v>
      </c>
      <c r="F69" t="s">
        <v>14</v>
      </c>
      <c r="G69" t="s">
        <v>44</v>
      </c>
      <c r="H69">
        <v>79</v>
      </c>
      <c r="I69">
        <v>0</v>
      </c>
      <c r="J69">
        <v>0</v>
      </c>
      <c r="K69">
        <v>0</v>
      </c>
      <c r="L69">
        <v>0</v>
      </c>
      <c r="M69">
        <v>10</v>
      </c>
      <c r="N69">
        <v>0</v>
      </c>
      <c r="O69">
        <v>0</v>
      </c>
      <c r="P69">
        <v>0</v>
      </c>
      <c r="Q69">
        <v>3</v>
      </c>
      <c r="R69">
        <v>0</v>
      </c>
      <c r="S69">
        <v>92</v>
      </c>
      <c r="T69">
        <v>3</v>
      </c>
      <c r="U69" s="8">
        <f>177/79</f>
        <v>2.240506329113924</v>
      </c>
      <c r="X69">
        <v>8.3000000000000007</v>
      </c>
    </row>
    <row r="70" spans="1:30" x14ac:dyDescent="0.2">
      <c r="A70" s="7">
        <v>41934</v>
      </c>
      <c r="B70" s="30">
        <v>2014</v>
      </c>
      <c r="C70">
        <v>1</v>
      </c>
      <c r="D70">
        <v>18</v>
      </c>
      <c r="E70" t="s">
        <v>34</v>
      </c>
      <c r="F70" t="s">
        <v>17</v>
      </c>
      <c r="G70" t="s">
        <v>21</v>
      </c>
      <c r="H70">
        <v>133</v>
      </c>
      <c r="I70">
        <v>0</v>
      </c>
      <c r="J70">
        <v>0</v>
      </c>
      <c r="K70">
        <v>0</v>
      </c>
      <c r="L70">
        <v>0</v>
      </c>
      <c r="M70">
        <v>4</v>
      </c>
      <c r="N70">
        <v>0</v>
      </c>
      <c r="O70">
        <v>0</v>
      </c>
      <c r="P70">
        <v>4</v>
      </c>
      <c r="Q70">
        <v>0</v>
      </c>
      <c r="R70">
        <v>0</v>
      </c>
      <c r="S70">
        <f t="shared" ref="S70:S77" si="1">SUM(H70:R70)</f>
        <v>141</v>
      </c>
      <c r="T70">
        <v>3</v>
      </c>
      <c r="U70" s="8">
        <f>335/133</f>
        <v>2.518796992481203</v>
      </c>
      <c r="W70">
        <f>20/4</f>
        <v>5</v>
      </c>
    </row>
    <row r="71" spans="1:30" x14ac:dyDescent="0.2">
      <c r="A71" s="7">
        <v>41934</v>
      </c>
      <c r="B71" s="30">
        <v>2014</v>
      </c>
      <c r="C71">
        <v>2</v>
      </c>
      <c r="D71">
        <v>18</v>
      </c>
      <c r="E71" t="s">
        <v>34</v>
      </c>
      <c r="F71" t="s">
        <v>17</v>
      </c>
      <c r="G71" t="s">
        <v>21</v>
      </c>
      <c r="H71">
        <v>205</v>
      </c>
      <c r="I71">
        <v>0</v>
      </c>
      <c r="J71">
        <v>0</v>
      </c>
      <c r="K71">
        <v>0</v>
      </c>
      <c r="L71">
        <v>0</v>
      </c>
      <c r="M71">
        <v>6</v>
      </c>
      <c r="N71">
        <v>0</v>
      </c>
      <c r="O71">
        <v>0</v>
      </c>
      <c r="P71">
        <v>2</v>
      </c>
      <c r="Q71">
        <v>0</v>
      </c>
      <c r="R71">
        <v>0</v>
      </c>
      <c r="S71">
        <f t="shared" si="1"/>
        <v>213</v>
      </c>
      <c r="T71">
        <v>3</v>
      </c>
      <c r="U71" s="8">
        <f>447/205</f>
        <v>2.1804878048780489</v>
      </c>
      <c r="W71">
        <f>3/2</f>
        <v>1.5</v>
      </c>
    </row>
    <row r="72" spans="1:30" x14ac:dyDescent="0.2">
      <c r="A72" s="7">
        <v>41934</v>
      </c>
      <c r="B72" s="30">
        <v>2014</v>
      </c>
      <c r="C72">
        <v>3</v>
      </c>
      <c r="D72">
        <v>18</v>
      </c>
      <c r="E72" t="s">
        <v>34</v>
      </c>
      <c r="F72" t="s">
        <v>14</v>
      </c>
      <c r="G72" t="s">
        <v>44</v>
      </c>
      <c r="H72">
        <v>105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4</v>
      </c>
      <c r="Q72">
        <v>0</v>
      </c>
      <c r="R72">
        <v>0</v>
      </c>
      <c r="S72">
        <f t="shared" si="1"/>
        <v>109</v>
      </c>
      <c r="T72">
        <v>2</v>
      </c>
      <c r="U72" s="8">
        <f>425/105</f>
        <v>4.0476190476190474</v>
      </c>
      <c r="W72">
        <f>35/4</f>
        <v>8.75</v>
      </c>
    </row>
    <row r="73" spans="1:30" x14ac:dyDescent="0.2">
      <c r="A73" s="7">
        <v>41934</v>
      </c>
      <c r="B73" s="30">
        <v>2014</v>
      </c>
      <c r="C73">
        <v>4</v>
      </c>
      <c r="D73">
        <v>18</v>
      </c>
      <c r="E73" t="s">
        <v>34</v>
      </c>
      <c r="F73" t="s">
        <v>14</v>
      </c>
      <c r="G73" t="s">
        <v>44</v>
      </c>
      <c r="H73">
        <v>170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2</v>
      </c>
      <c r="Q73">
        <v>0</v>
      </c>
      <c r="R73">
        <v>0</v>
      </c>
      <c r="S73">
        <f t="shared" si="1"/>
        <v>172</v>
      </c>
      <c r="T73">
        <v>2</v>
      </c>
      <c r="U73" s="8">
        <f>728/170</f>
        <v>4.2823529411764705</v>
      </c>
      <c r="W73">
        <f>15/2</f>
        <v>7.5</v>
      </c>
    </row>
    <row r="74" spans="1:30" x14ac:dyDescent="0.2">
      <c r="A74" s="7">
        <v>42298</v>
      </c>
      <c r="B74" s="30">
        <v>2015</v>
      </c>
      <c r="C74">
        <v>1</v>
      </c>
      <c r="D74">
        <v>12</v>
      </c>
      <c r="E74" t="s">
        <v>34</v>
      </c>
      <c r="F74" t="s">
        <v>17</v>
      </c>
      <c r="G74" t="s">
        <v>21</v>
      </c>
      <c r="H74">
        <v>56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f t="shared" si="1"/>
        <v>56</v>
      </c>
      <c r="T74">
        <v>1</v>
      </c>
      <c r="U74" s="8">
        <f>100/56</f>
        <v>1.7857142857142858</v>
      </c>
    </row>
    <row r="75" spans="1:30" ht="13.5" thickBot="1" x14ac:dyDescent="0.25">
      <c r="A75" s="7">
        <v>42298</v>
      </c>
      <c r="B75" s="30">
        <v>2015</v>
      </c>
      <c r="C75">
        <v>2</v>
      </c>
      <c r="D75">
        <v>12</v>
      </c>
      <c r="E75" t="s">
        <v>34</v>
      </c>
      <c r="F75" t="s">
        <v>17</v>
      </c>
      <c r="G75" t="s">
        <v>21</v>
      </c>
      <c r="H75">
        <v>47</v>
      </c>
      <c r="I75">
        <v>0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f t="shared" si="1"/>
        <v>48</v>
      </c>
      <c r="T75">
        <v>2</v>
      </c>
      <c r="U75" s="8">
        <f>80/47</f>
        <v>1.7021276595744681</v>
      </c>
    </row>
    <row r="76" spans="1:30" ht="15.75" thickBot="1" x14ac:dyDescent="0.25">
      <c r="A76" s="7">
        <v>42298</v>
      </c>
      <c r="B76" s="30">
        <v>2015</v>
      </c>
      <c r="C76">
        <v>3</v>
      </c>
      <c r="D76">
        <v>12</v>
      </c>
      <c r="E76" t="s">
        <v>34</v>
      </c>
      <c r="F76" t="s">
        <v>14</v>
      </c>
      <c r="G76" t="s">
        <v>44</v>
      </c>
      <c r="H76">
        <v>17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f t="shared" si="1"/>
        <v>17</v>
      </c>
      <c r="T76">
        <v>1</v>
      </c>
      <c r="U76" s="8">
        <f>25/17</f>
        <v>1.4705882352941178</v>
      </c>
      <c r="AB76" s="38">
        <v>2002</v>
      </c>
      <c r="AC76" s="39">
        <v>6.2</v>
      </c>
      <c r="AD76" s="39" t="s">
        <v>77</v>
      </c>
    </row>
    <row r="77" spans="1:30" ht="15.75" thickBot="1" x14ac:dyDescent="0.25">
      <c r="A77" s="7">
        <v>42298</v>
      </c>
      <c r="B77" s="30">
        <v>2015</v>
      </c>
      <c r="C77">
        <v>4</v>
      </c>
      <c r="D77">
        <v>12</v>
      </c>
      <c r="E77" t="s">
        <v>34</v>
      </c>
      <c r="F77" t="s">
        <v>14</v>
      </c>
      <c r="G77" t="s">
        <v>44</v>
      </c>
      <c r="H77">
        <v>4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f t="shared" si="1"/>
        <v>4</v>
      </c>
      <c r="T77">
        <v>1</v>
      </c>
      <c r="U77" s="8">
        <f>10/4</f>
        <v>2.5</v>
      </c>
      <c r="AB77" s="40">
        <v>2003</v>
      </c>
      <c r="AC77" s="41">
        <v>1</v>
      </c>
      <c r="AD77" s="41" t="s">
        <v>77</v>
      </c>
    </row>
    <row r="78" spans="1:30" ht="15.75" thickBot="1" x14ac:dyDescent="0.25">
      <c r="B78" s="30"/>
      <c r="AB78" s="40">
        <v>2004</v>
      </c>
      <c r="AC78" s="41">
        <v>35.5</v>
      </c>
      <c r="AD78" s="41" t="s">
        <v>78</v>
      </c>
    </row>
    <row r="79" spans="1:30" ht="15.75" thickBot="1" x14ac:dyDescent="0.25">
      <c r="B79" s="30"/>
      <c r="AB79" s="40">
        <v>2005</v>
      </c>
      <c r="AC79" s="41">
        <v>102.5</v>
      </c>
      <c r="AD79" s="41" t="s">
        <v>78</v>
      </c>
    </row>
    <row r="80" spans="1:30" ht="15.75" thickBot="1" x14ac:dyDescent="0.25">
      <c r="B80" s="30"/>
      <c r="AB80" s="40">
        <v>2006</v>
      </c>
      <c r="AC80" s="41">
        <v>206</v>
      </c>
      <c r="AD80" s="41" t="s">
        <v>78</v>
      </c>
    </row>
    <row r="81" spans="2:30" ht="15.75" thickBot="1" x14ac:dyDescent="0.25">
      <c r="B81" s="30"/>
      <c r="AB81" s="40">
        <v>2007</v>
      </c>
      <c r="AC81" s="41">
        <v>668</v>
      </c>
      <c r="AD81" s="41" t="s">
        <v>78</v>
      </c>
    </row>
    <row r="82" spans="2:30" x14ac:dyDescent="0.2">
      <c r="B82" s="30"/>
    </row>
    <row r="83" spans="2:30" x14ac:dyDescent="0.2">
      <c r="B83" s="30"/>
    </row>
    <row r="84" spans="2:30" x14ac:dyDescent="0.2">
      <c r="B84" s="30"/>
    </row>
    <row r="85" spans="2:30" x14ac:dyDescent="0.2">
      <c r="B85" s="30"/>
    </row>
    <row r="86" spans="2:30" x14ac:dyDescent="0.2">
      <c r="B86" s="30"/>
    </row>
    <row r="87" spans="2:30" x14ac:dyDescent="0.2">
      <c r="B87" s="30"/>
    </row>
    <row r="88" spans="2:30" x14ac:dyDescent="0.2">
      <c r="B88" s="30"/>
    </row>
    <row r="89" spans="2:30" x14ac:dyDescent="0.2">
      <c r="B89" s="30"/>
    </row>
    <row r="90" spans="2:30" x14ac:dyDescent="0.2">
      <c r="B90" s="30"/>
    </row>
    <row r="91" spans="2:30" x14ac:dyDescent="0.2">
      <c r="B91" s="30"/>
    </row>
    <row r="92" spans="2:30" x14ac:dyDescent="0.2">
      <c r="B92" s="30"/>
    </row>
    <row r="93" spans="2:30" x14ac:dyDescent="0.2">
      <c r="B93" s="30"/>
    </row>
    <row r="94" spans="2:30" x14ac:dyDescent="0.2">
      <c r="B94" s="30"/>
    </row>
    <row r="95" spans="2:30" x14ac:dyDescent="0.2">
      <c r="B95" s="30"/>
    </row>
    <row r="96" spans="2:30" x14ac:dyDescent="0.2">
      <c r="B96" s="30"/>
    </row>
    <row r="97" spans="2:2" x14ac:dyDescent="0.2">
      <c r="B97" s="30"/>
    </row>
    <row r="98" spans="2:2" x14ac:dyDescent="0.2">
      <c r="B98" s="30"/>
    </row>
    <row r="99" spans="2:2" x14ac:dyDescent="0.2">
      <c r="B99" s="30"/>
    </row>
    <row r="100" spans="2:2" x14ac:dyDescent="0.2">
      <c r="B100" s="30"/>
    </row>
    <row r="101" spans="2:2" x14ac:dyDescent="0.2">
      <c r="B101" s="30"/>
    </row>
    <row r="102" spans="2:2" x14ac:dyDescent="0.2">
      <c r="B102" s="30"/>
    </row>
    <row r="103" spans="2:2" x14ac:dyDescent="0.2">
      <c r="B103" s="30"/>
    </row>
    <row r="104" spans="2:2" x14ac:dyDescent="0.2">
      <c r="B104" s="30"/>
    </row>
    <row r="105" spans="2:2" x14ac:dyDescent="0.2">
      <c r="B105" s="30"/>
    </row>
    <row r="106" spans="2:2" x14ac:dyDescent="0.2">
      <c r="B106" s="30"/>
    </row>
    <row r="107" spans="2:2" x14ac:dyDescent="0.2">
      <c r="B107" s="30"/>
    </row>
    <row r="108" spans="2:2" x14ac:dyDescent="0.2">
      <c r="B108" s="30"/>
    </row>
    <row r="109" spans="2:2" x14ac:dyDescent="0.2">
      <c r="B109" s="30"/>
    </row>
    <row r="110" spans="2:2" x14ac:dyDescent="0.2">
      <c r="B110" s="30"/>
    </row>
    <row r="111" spans="2:2" x14ac:dyDescent="0.2">
      <c r="B111" s="30"/>
    </row>
    <row r="112" spans="2:2" x14ac:dyDescent="0.2">
      <c r="B112" s="30"/>
    </row>
    <row r="113" spans="2:2" x14ac:dyDescent="0.2">
      <c r="B113" s="30"/>
    </row>
    <row r="114" spans="2:2" x14ac:dyDescent="0.2">
      <c r="B114" s="30"/>
    </row>
    <row r="115" spans="2:2" x14ac:dyDescent="0.2">
      <c r="B115" s="30"/>
    </row>
    <row r="116" spans="2:2" x14ac:dyDescent="0.2">
      <c r="B116" s="30"/>
    </row>
    <row r="117" spans="2:2" x14ac:dyDescent="0.2">
      <c r="B117" s="30"/>
    </row>
    <row r="118" spans="2:2" x14ac:dyDescent="0.2">
      <c r="B118" s="30"/>
    </row>
    <row r="119" spans="2:2" x14ac:dyDescent="0.2">
      <c r="B119" s="30"/>
    </row>
    <row r="120" spans="2:2" x14ac:dyDescent="0.2">
      <c r="B120" s="30"/>
    </row>
    <row r="121" spans="2:2" x14ac:dyDescent="0.2">
      <c r="B121" s="30"/>
    </row>
    <row r="122" spans="2:2" x14ac:dyDescent="0.2">
      <c r="B122" s="30"/>
    </row>
    <row r="123" spans="2:2" x14ac:dyDescent="0.2">
      <c r="B123" s="30"/>
    </row>
    <row r="124" spans="2:2" x14ac:dyDescent="0.2">
      <c r="B124" s="30"/>
    </row>
    <row r="125" spans="2:2" x14ac:dyDescent="0.2">
      <c r="B125" s="30"/>
    </row>
    <row r="126" spans="2:2" x14ac:dyDescent="0.2">
      <c r="B126" s="30"/>
    </row>
    <row r="127" spans="2:2" x14ac:dyDescent="0.2">
      <c r="B127" s="30"/>
    </row>
    <row r="128" spans="2:2" x14ac:dyDescent="0.2">
      <c r="B128" s="30"/>
    </row>
    <row r="129" spans="2:2" x14ac:dyDescent="0.2">
      <c r="B129" s="30"/>
    </row>
    <row r="130" spans="2:2" x14ac:dyDescent="0.2">
      <c r="B130" s="30"/>
    </row>
    <row r="131" spans="2:2" x14ac:dyDescent="0.2">
      <c r="B131" s="30"/>
    </row>
    <row r="132" spans="2:2" x14ac:dyDescent="0.2">
      <c r="B132" s="30"/>
    </row>
    <row r="133" spans="2:2" x14ac:dyDescent="0.2">
      <c r="B133" s="30"/>
    </row>
    <row r="134" spans="2:2" x14ac:dyDescent="0.2">
      <c r="B134" s="30"/>
    </row>
    <row r="135" spans="2:2" x14ac:dyDescent="0.2">
      <c r="B135" s="30"/>
    </row>
    <row r="136" spans="2:2" x14ac:dyDescent="0.2">
      <c r="B136" s="30"/>
    </row>
    <row r="137" spans="2:2" x14ac:dyDescent="0.2">
      <c r="B137" s="30"/>
    </row>
    <row r="138" spans="2:2" x14ac:dyDescent="0.2">
      <c r="B138" s="30"/>
    </row>
    <row r="139" spans="2:2" x14ac:dyDescent="0.2">
      <c r="B139" s="30"/>
    </row>
    <row r="140" spans="2:2" x14ac:dyDescent="0.2">
      <c r="B140" s="30"/>
    </row>
    <row r="141" spans="2:2" x14ac:dyDescent="0.2">
      <c r="B141" s="30"/>
    </row>
    <row r="142" spans="2:2" x14ac:dyDescent="0.2">
      <c r="B142" s="30"/>
    </row>
    <row r="143" spans="2:2" x14ac:dyDescent="0.2">
      <c r="B143" s="30"/>
    </row>
    <row r="144" spans="2:2" x14ac:dyDescent="0.2">
      <c r="B144" s="30"/>
    </row>
    <row r="145" spans="2:2" x14ac:dyDescent="0.2">
      <c r="B145" s="30"/>
    </row>
    <row r="146" spans="2:2" x14ac:dyDescent="0.2">
      <c r="B146" s="30"/>
    </row>
    <row r="147" spans="2:2" x14ac:dyDescent="0.2">
      <c r="B147" s="30"/>
    </row>
    <row r="148" spans="2:2" x14ac:dyDescent="0.2">
      <c r="B148" s="30"/>
    </row>
    <row r="149" spans="2:2" x14ac:dyDescent="0.2">
      <c r="B149" s="30"/>
    </row>
    <row r="150" spans="2:2" x14ac:dyDescent="0.2">
      <c r="B150" s="30"/>
    </row>
    <row r="151" spans="2:2" x14ac:dyDescent="0.2">
      <c r="B151" s="30"/>
    </row>
    <row r="152" spans="2:2" x14ac:dyDescent="0.2">
      <c r="B152" s="30"/>
    </row>
    <row r="153" spans="2:2" x14ac:dyDescent="0.2">
      <c r="B153" s="30"/>
    </row>
    <row r="154" spans="2:2" x14ac:dyDescent="0.2">
      <c r="B154" s="30"/>
    </row>
    <row r="155" spans="2:2" x14ac:dyDescent="0.2">
      <c r="B155" s="30"/>
    </row>
    <row r="156" spans="2:2" x14ac:dyDescent="0.2">
      <c r="B156" s="30"/>
    </row>
    <row r="157" spans="2:2" x14ac:dyDescent="0.2">
      <c r="B157" s="30"/>
    </row>
    <row r="158" spans="2:2" x14ac:dyDescent="0.2">
      <c r="B158" s="30"/>
    </row>
    <row r="159" spans="2:2" x14ac:dyDescent="0.2">
      <c r="B159" s="30"/>
    </row>
    <row r="160" spans="2:2" x14ac:dyDescent="0.2">
      <c r="B160" s="30"/>
    </row>
    <row r="161" spans="2:2" x14ac:dyDescent="0.2">
      <c r="B161" s="30"/>
    </row>
    <row r="162" spans="2:2" x14ac:dyDescent="0.2">
      <c r="B162" s="30"/>
    </row>
    <row r="163" spans="2:2" x14ac:dyDescent="0.2">
      <c r="B163" s="30"/>
    </row>
    <row r="164" spans="2:2" x14ac:dyDescent="0.2">
      <c r="B164" s="30"/>
    </row>
    <row r="165" spans="2:2" x14ac:dyDescent="0.2">
      <c r="B165" s="30"/>
    </row>
    <row r="166" spans="2:2" x14ac:dyDescent="0.2">
      <c r="B166" s="30"/>
    </row>
    <row r="167" spans="2:2" x14ac:dyDescent="0.2">
      <c r="B167" s="30"/>
    </row>
    <row r="168" spans="2:2" x14ac:dyDescent="0.2">
      <c r="B168" s="30"/>
    </row>
    <row r="169" spans="2:2" x14ac:dyDescent="0.2">
      <c r="B169" s="30"/>
    </row>
    <row r="170" spans="2:2" x14ac:dyDescent="0.2">
      <c r="B170" s="30"/>
    </row>
    <row r="171" spans="2:2" x14ac:dyDescent="0.2">
      <c r="B171" s="30"/>
    </row>
    <row r="172" spans="2:2" x14ac:dyDescent="0.2">
      <c r="B172" s="30"/>
    </row>
    <row r="173" spans="2:2" x14ac:dyDescent="0.2">
      <c r="B173" s="30"/>
    </row>
    <row r="174" spans="2:2" x14ac:dyDescent="0.2">
      <c r="B174" s="30"/>
    </row>
    <row r="175" spans="2:2" x14ac:dyDescent="0.2">
      <c r="B175" s="30"/>
    </row>
    <row r="176" spans="2:2" x14ac:dyDescent="0.2">
      <c r="B176" s="30"/>
    </row>
    <row r="177" spans="2:2" x14ac:dyDescent="0.2">
      <c r="B177" s="30"/>
    </row>
    <row r="178" spans="2:2" x14ac:dyDescent="0.2">
      <c r="B178" s="30"/>
    </row>
    <row r="179" spans="2:2" x14ac:dyDescent="0.2">
      <c r="B179" s="30"/>
    </row>
    <row r="180" spans="2:2" x14ac:dyDescent="0.2">
      <c r="B180" s="30"/>
    </row>
    <row r="181" spans="2:2" x14ac:dyDescent="0.2">
      <c r="B181" s="30"/>
    </row>
    <row r="182" spans="2:2" x14ac:dyDescent="0.2">
      <c r="B182" s="30"/>
    </row>
    <row r="183" spans="2:2" x14ac:dyDescent="0.2">
      <c r="B183" s="30"/>
    </row>
    <row r="184" spans="2:2" x14ac:dyDescent="0.2">
      <c r="B184" s="30"/>
    </row>
    <row r="185" spans="2:2" x14ac:dyDescent="0.2">
      <c r="B185" s="30"/>
    </row>
    <row r="186" spans="2:2" x14ac:dyDescent="0.2">
      <c r="B186" s="30"/>
    </row>
    <row r="187" spans="2:2" x14ac:dyDescent="0.2">
      <c r="B187" s="30"/>
    </row>
    <row r="188" spans="2:2" x14ac:dyDescent="0.2">
      <c r="B188" s="30"/>
    </row>
    <row r="189" spans="2:2" x14ac:dyDescent="0.2">
      <c r="B189" s="30"/>
    </row>
    <row r="190" spans="2:2" x14ac:dyDescent="0.2">
      <c r="B190" s="30"/>
    </row>
    <row r="191" spans="2:2" x14ac:dyDescent="0.2">
      <c r="B191" s="30"/>
    </row>
    <row r="192" spans="2:2" x14ac:dyDescent="0.2">
      <c r="B192" s="30"/>
    </row>
    <row r="193" spans="2:2" x14ac:dyDescent="0.2">
      <c r="B193" s="30"/>
    </row>
    <row r="194" spans="2:2" x14ac:dyDescent="0.2">
      <c r="B194" s="30"/>
    </row>
    <row r="195" spans="2:2" x14ac:dyDescent="0.2">
      <c r="B195" s="30"/>
    </row>
    <row r="196" spans="2:2" x14ac:dyDescent="0.2">
      <c r="B196" s="30"/>
    </row>
    <row r="197" spans="2:2" x14ac:dyDescent="0.2">
      <c r="B197" s="30"/>
    </row>
    <row r="198" spans="2:2" x14ac:dyDescent="0.2">
      <c r="B198" s="30"/>
    </row>
    <row r="199" spans="2:2" x14ac:dyDescent="0.2">
      <c r="B199" s="30"/>
    </row>
    <row r="200" spans="2:2" x14ac:dyDescent="0.2">
      <c r="B200" s="30"/>
    </row>
    <row r="201" spans="2:2" x14ac:dyDescent="0.2">
      <c r="B201" s="30"/>
    </row>
    <row r="202" spans="2:2" x14ac:dyDescent="0.2">
      <c r="B202" s="30"/>
    </row>
    <row r="203" spans="2:2" x14ac:dyDescent="0.2">
      <c r="B203" s="30"/>
    </row>
    <row r="204" spans="2:2" x14ac:dyDescent="0.2">
      <c r="B204" s="30"/>
    </row>
    <row r="205" spans="2:2" x14ac:dyDescent="0.2">
      <c r="B205" s="30"/>
    </row>
    <row r="206" spans="2:2" x14ac:dyDescent="0.2">
      <c r="B206" s="30"/>
    </row>
    <row r="207" spans="2:2" x14ac:dyDescent="0.2">
      <c r="B207" s="30"/>
    </row>
    <row r="208" spans="2:2" x14ac:dyDescent="0.2">
      <c r="B208" s="30"/>
    </row>
    <row r="209" spans="2:2" x14ac:dyDescent="0.2">
      <c r="B209" s="30"/>
    </row>
    <row r="210" spans="2:2" x14ac:dyDescent="0.2">
      <c r="B210" s="30"/>
    </row>
    <row r="211" spans="2:2" x14ac:dyDescent="0.2">
      <c r="B211" s="30"/>
    </row>
    <row r="212" spans="2:2" x14ac:dyDescent="0.2">
      <c r="B212" s="30"/>
    </row>
    <row r="213" spans="2:2" x14ac:dyDescent="0.2">
      <c r="B213" s="30"/>
    </row>
    <row r="214" spans="2:2" x14ac:dyDescent="0.2">
      <c r="B214" s="30"/>
    </row>
    <row r="215" spans="2:2" x14ac:dyDescent="0.2">
      <c r="B215" s="30"/>
    </row>
    <row r="216" spans="2:2" x14ac:dyDescent="0.2">
      <c r="B216" s="30"/>
    </row>
    <row r="217" spans="2:2" x14ac:dyDescent="0.2">
      <c r="B217" s="30"/>
    </row>
    <row r="218" spans="2:2" x14ac:dyDescent="0.2">
      <c r="B218" s="30"/>
    </row>
    <row r="219" spans="2:2" x14ac:dyDescent="0.2">
      <c r="B219" s="30"/>
    </row>
    <row r="220" spans="2:2" x14ac:dyDescent="0.2">
      <c r="B220" s="30"/>
    </row>
    <row r="221" spans="2:2" x14ac:dyDescent="0.2">
      <c r="B221" s="30"/>
    </row>
    <row r="222" spans="2:2" x14ac:dyDescent="0.2">
      <c r="B222" s="30"/>
    </row>
    <row r="223" spans="2:2" x14ac:dyDescent="0.2">
      <c r="B223" s="30"/>
    </row>
    <row r="224" spans="2:2" x14ac:dyDescent="0.2">
      <c r="B224" s="30"/>
    </row>
    <row r="225" spans="2:2" x14ac:dyDescent="0.2">
      <c r="B225" s="30"/>
    </row>
    <row r="226" spans="2:2" x14ac:dyDescent="0.2">
      <c r="B226" s="30"/>
    </row>
    <row r="227" spans="2:2" x14ac:dyDescent="0.2">
      <c r="B227" s="30"/>
    </row>
    <row r="228" spans="2:2" x14ac:dyDescent="0.2">
      <c r="B228" s="30"/>
    </row>
    <row r="229" spans="2:2" x14ac:dyDescent="0.2">
      <c r="B229" s="30"/>
    </row>
    <row r="230" spans="2:2" x14ac:dyDescent="0.2">
      <c r="B230" s="30"/>
    </row>
    <row r="231" spans="2:2" x14ac:dyDescent="0.2">
      <c r="B231" s="30"/>
    </row>
    <row r="232" spans="2:2" x14ac:dyDescent="0.2">
      <c r="B232" s="30"/>
    </row>
    <row r="233" spans="2:2" x14ac:dyDescent="0.2">
      <c r="B233" s="30"/>
    </row>
    <row r="234" spans="2:2" x14ac:dyDescent="0.2">
      <c r="B234" s="30"/>
    </row>
    <row r="235" spans="2:2" x14ac:dyDescent="0.2">
      <c r="B235" s="30"/>
    </row>
    <row r="236" spans="2:2" x14ac:dyDescent="0.2">
      <c r="B236" s="30"/>
    </row>
    <row r="237" spans="2:2" x14ac:dyDescent="0.2">
      <c r="B237" s="30"/>
    </row>
    <row r="238" spans="2:2" x14ac:dyDescent="0.2">
      <c r="B238" s="30"/>
    </row>
    <row r="239" spans="2:2" x14ac:dyDescent="0.2">
      <c r="B239" s="30"/>
    </row>
    <row r="240" spans="2:2" x14ac:dyDescent="0.2">
      <c r="B240" s="30"/>
    </row>
    <row r="241" spans="2:2" x14ac:dyDescent="0.2">
      <c r="B241" s="30"/>
    </row>
    <row r="242" spans="2:2" x14ac:dyDescent="0.2">
      <c r="B242" s="30"/>
    </row>
    <row r="243" spans="2:2" x14ac:dyDescent="0.2">
      <c r="B243" s="30"/>
    </row>
    <row r="244" spans="2:2" x14ac:dyDescent="0.2">
      <c r="B244" s="30"/>
    </row>
    <row r="245" spans="2:2" x14ac:dyDescent="0.2">
      <c r="B245" s="30"/>
    </row>
    <row r="246" spans="2:2" x14ac:dyDescent="0.2">
      <c r="B246" s="30"/>
    </row>
    <row r="247" spans="2:2" x14ac:dyDescent="0.2">
      <c r="B247" s="30"/>
    </row>
    <row r="248" spans="2:2" x14ac:dyDescent="0.2">
      <c r="B248" s="30"/>
    </row>
    <row r="249" spans="2:2" x14ac:dyDescent="0.2">
      <c r="B249" s="30"/>
    </row>
    <row r="250" spans="2:2" x14ac:dyDescent="0.2">
      <c r="B250" s="30"/>
    </row>
    <row r="251" spans="2:2" x14ac:dyDescent="0.2">
      <c r="B251" s="30"/>
    </row>
    <row r="252" spans="2:2" x14ac:dyDescent="0.2">
      <c r="B252" s="30"/>
    </row>
    <row r="253" spans="2:2" x14ac:dyDescent="0.2">
      <c r="B253" s="30"/>
    </row>
    <row r="254" spans="2:2" x14ac:dyDescent="0.2">
      <c r="B254" s="30"/>
    </row>
    <row r="255" spans="2:2" x14ac:dyDescent="0.2">
      <c r="B255" s="30"/>
    </row>
    <row r="256" spans="2:2" x14ac:dyDescent="0.2">
      <c r="B256" s="30"/>
    </row>
    <row r="257" spans="2:2" x14ac:dyDescent="0.2">
      <c r="B257" s="30"/>
    </row>
    <row r="258" spans="2:2" x14ac:dyDescent="0.2">
      <c r="B258" s="30"/>
    </row>
    <row r="259" spans="2:2" x14ac:dyDescent="0.2">
      <c r="B259" s="30"/>
    </row>
    <row r="291" spans="2:2" x14ac:dyDescent="0.2">
      <c r="B291">
        <v>3004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71"/>
  <sheetViews>
    <sheetView topLeftCell="A55" zoomScale="90" zoomScaleNormal="90" workbookViewId="0">
      <selection activeCell="O79" sqref="O79"/>
    </sheetView>
  </sheetViews>
  <sheetFormatPr defaultRowHeight="12.75" x14ac:dyDescent="0.2"/>
  <cols>
    <col min="1" max="1" width="21.7109375" customWidth="1"/>
    <col min="2" max="5" width="13.28515625" customWidth="1"/>
    <col min="6" max="6" width="11.5703125" customWidth="1"/>
    <col min="7" max="7" width="14.28515625" customWidth="1"/>
    <col min="8" max="8" width="11.28515625" customWidth="1"/>
    <col min="9" max="9" width="9.7109375" customWidth="1"/>
    <col min="10" max="19" width="5.5703125" customWidth="1"/>
    <col min="20" max="20" width="11.7109375" customWidth="1"/>
  </cols>
  <sheetData>
    <row r="3" spans="1:9" x14ac:dyDescent="0.2">
      <c r="A3" s="43" t="s">
        <v>27</v>
      </c>
      <c r="B3" s="43" t="s">
        <v>19</v>
      </c>
      <c r="C3" s="44"/>
      <c r="D3" s="45"/>
      <c r="F3" t="str">
        <f>'Pivot Charts'!A3</f>
        <v>Average of Mummichog</v>
      </c>
      <c r="G3" t="str">
        <f>'Pivot Charts'!B3</f>
        <v>Treatment</v>
      </c>
      <c r="H3">
        <f>'Pivot Charts'!C3</f>
        <v>0</v>
      </c>
      <c r="I3">
        <f>'Pivot Charts'!D3</f>
        <v>0</v>
      </c>
    </row>
    <row r="4" spans="1:9" x14ac:dyDescent="0.2">
      <c r="A4" s="43" t="s">
        <v>2</v>
      </c>
      <c r="B4" s="46" t="s">
        <v>20</v>
      </c>
      <c r="C4" s="47" t="s">
        <v>21</v>
      </c>
      <c r="D4" s="48" t="s">
        <v>26</v>
      </c>
      <c r="F4" t="str">
        <f>'Pivot Charts'!A4</f>
        <v>Area</v>
      </c>
      <c r="G4" s="9" t="str">
        <f>'Pivot Charts'!B4</f>
        <v>Restricted</v>
      </c>
      <c r="H4" s="11" t="str">
        <f>'Pivot Charts'!C4</f>
        <v>Restored 1</v>
      </c>
      <c r="I4" t="str">
        <f>'Pivot Charts'!D4</f>
        <v>Grand Total</v>
      </c>
    </row>
    <row r="5" spans="1:9" x14ac:dyDescent="0.2">
      <c r="A5" s="46" t="s">
        <v>14</v>
      </c>
      <c r="B5" s="49">
        <v>5.333333333333333</v>
      </c>
      <c r="C5" s="50">
        <v>142.65</v>
      </c>
      <c r="D5" s="51">
        <v>124.73913043478261</v>
      </c>
      <c r="F5" t="str">
        <f>'Pivot Charts'!A5</f>
        <v>upstream</v>
      </c>
      <c r="G5" s="9">
        <f>'Pivot Charts'!B5</f>
        <v>5.333333333333333</v>
      </c>
      <c r="H5" s="11">
        <f>'Pivot Charts'!C5</f>
        <v>142.65</v>
      </c>
      <c r="I5">
        <f>'Pivot Charts'!D5</f>
        <v>124.73913043478261</v>
      </c>
    </row>
    <row r="6" spans="1:9" x14ac:dyDescent="0.2">
      <c r="A6" s="52" t="s">
        <v>17</v>
      </c>
      <c r="B6" s="53">
        <v>3.5</v>
      </c>
      <c r="C6" s="19">
        <v>85.5</v>
      </c>
      <c r="D6" s="54">
        <v>78.369565217391298</v>
      </c>
      <c r="F6" t="str">
        <f>'Pivot Charts'!A6</f>
        <v>downstream</v>
      </c>
      <c r="G6" s="9">
        <f>'Pivot Charts'!B6</f>
        <v>3.5</v>
      </c>
      <c r="H6" s="12">
        <f>'Pivot Charts'!C6</f>
        <v>85.5</v>
      </c>
      <c r="I6">
        <f>'Pivot Charts'!D6</f>
        <v>78.369565217391298</v>
      </c>
    </row>
    <row r="7" spans="1:9" x14ac:dyDescent="0.2">
      <c r="A7" s="55" t="s">
        <v>26</v>
      </c>
      <c r="B7" s="56">
        <v>4.5999999999999996</v>
      </c>
      <c r="C7" s="57">
        <v>113.3780487804878</v>
      </c>
      <c r="D7" s="58">
        <v>101.55434782608695</v>
      </c>
      <c r="F7" t="str">
        <f>'Pivot Charts'!A7</f>
        <v>Grand Total</v>
      </c>
      <c r="G7" s="10">
        <f>'Pivot Charts'!B7</f>
        <v>4.5999999999999996</v>
      </c>
      <c r="H7" s="13">
        <f>'Pivot Charts'!C7</f>
        <v>113.3780487804878</v>
      </c>
      <c r="I7">
        <f>'Pivot Charts'!D7</f>
        <v>101.55434782608695</v>
      </c>
    </row>
    <row r="8" spans="1:9" x14ac:dyDescent="0.2">
      <c r="A8" s="26"/>
      <c r="B8" s="81"/>
      <c r="C8" s="81"/>
      <c r="D8" s="81"/>
      <c r="G8" s="10"/>
      <c r="H8" s="13"/>
    </row>
    <row r="9" spans="1:9" x14ac:dyDescent="0.2">
      <c r="A9" s="26"/>
      <c r="B9" s="81"/>
      <c r="C9" s="81"/>
      <c r="D9" s="81"/>
      <c r="G9" s="10"/>
      <c r="H9" s="13"/>
    </row>
    <row r="10" spans="1:9" x14ac:dyDescent="0.2">
      <c r="G10" s="14"/>
      <c r="H10" s="15"/>
    </row>
    <row r="12" spans="1:9" x14ac:dyDescent="0.2">
      <c r="A12" s="43" t="s">
        <v>31</v>
      </c>
      <c r="B12" s="43" t="s">
        <v>19</v>
      </c>
      <c r="C12" s="44"/>
      <c r="D12" s="45"/>
      <c r="F12" t="str">
        <f>'Pivot Charts'!A12</f>
        <v>Average of Vol. Mummichog</v>
      </c>
      <c r="G12" t="str">
        <f>'Pivot Charts'!B12</f>
        <v>Treatment</v>
      </c>
    </row>
    <row r="13" spans="1:9" x14ac:dyDescent="0.2">
      <c r="A13" s="43" t="s">
        <v>2</v>
      </c>
      <c r="B13" s="46" t="s">
        <v>20</v>
      </c>
      <c r="C13" s="47" t="s">
        <v>21</v>
      </c>
      <c r="D13" s="48" t="s">
        <v>26</v>
      </c>
      <c r="F13" t="str">
        <f>'Pivot Charts'!A13</f>
        <v>Area</v>
      </c>
      <c r="G13" t="str">
        <f>'Pivot Charts'!B13</f>
        <v>Restricted</v>
      </c>
      <c r="H13" t="str">
        <f>'Pivot Charts'!C13</f>
        <v>Restored 1</v>
      </c>
      <c r="I13" t="str">
        <f>'Pivot Charts'!D13</f>
        <v>Grand Total</v>
      </c>
    </row>
    <row r="14" spans="1:9" x14ac:dyDescent="0.2">
      <c r="A14" s="46" t="s">
        <v>14</v>
      </c>
      <c r="B14" s="59">
        <v>4.0885093167701863</v>
      </c>
      <c r="C14" s="60">
        <v>3.2221253560193484</v>
      </c>
      <c r="D14" s="61">
        <v>3.3046381141860945</v>
      </c>
      <c r="F14" t="str">
        <f>'Pivot Charts'!A14</f>
        <v>upstream</v>
      </c>
      <c r="G14" s="20">
        <f>'Pivot Charts'!B14</f>
        <v>4.0885093167701863</v>
      </c>
      <c r="H14" s="20">
        <f>'Pivot Charts'!C14</f>
        <v>3.2221253560193484</v>
      </c>
      <c r="I14" s="20">
        <f>'Pivot Charts'!D14</f>
        <v>3.3046381141860945</v>
      </c>
    </row>
    <row r="15" spans="1:9" x14ac:dyDescent="0.2">
      <c r="A15" s="52" t="s">
        <v>17</v>
      </c>
      <c r="B15" s="62">
        <v>2.1</v>
      </c>
      <c r="C15" s="20">
        <v>2.9123867258300602</v>
      </c>
      <c r="D15" s="63">
        <v>2.8925724154439609</v>
      </c>
      <c r="F15" t="str">
        <f>'Pivot Charts'!A15</f>
        <v>downstream</v>
      </c>
      <c r="G15" s="20">
        <f>'Pivot Charts'!B15</f>
        <v>2.1</v>
      </c>
      <c r="H15" s="20">
        <f>'Pivot Charts'!C15</f>
        <v>2.9123867258300602</v>
      </c>
      <c r="I15" s="20">
        <f>'Pivot Charts'!D15</f>
        <v>2.8925724154439609</v>
      </c>
    </row>
    <row r="16" spans="1:9" x14ac:dyDescent="0.2">
      <c r="A16" s="55" t="s">
        <v>26</v>
      </c>
      <c r="B16" s="64">
        <v>3.6908074534161495</v>
      </c>
      <c r="C16" s="65">
        <v>3.063285032845354</v>
      </c>
      <c r="D16" s="66">
        <v>3.1010875883014264</v>
      </c>
      <c r="F16" t="str">
        <f>'Pivot Charts'!A16</f>
        <v>Grand Total</v>
      </c>
      <c r="G16" s="20">
        <f>'Pivot Charts'!B16</f>
        <v>3.6908074534161495</v>
      </c>
      <c r="H16" s="20">
        <f>'Pivot Charts'!C16</f>
        <v>3.063285032845354</v>
      </c>
      <c r="I16" s="20">
        <f>'Pivot Charts'!D16</f>
        <v>3.1010875883014264</v>
      </c>
    </row>
    <row r="19" spans="1:9" x14ac:dyDescent="0.2">
      <c r="A19" s="43" t="s">
        <v>31</v>
      </c>
      <c r="B19" s="43" t="s">
        <v>32</v>
      </c>
      <c r="C19" s="44"/>
      <c r="D19" s="44"/>
      <c r="E19" s="45"/>
      <c r="G19" t="str">
        <f>'Pivot Charts'!B19</f>
        <v>Season</v>
      </c>
      <c r="H19">
        <f>'Pivot Charts'!C19</f>
        <v>0</v>
      </c>
      <c r="I19">
        <f>'Pivot Charts'!D19</f>
        <v>0</v>
      </c>
    </row>
    <row r="20" spans="1:9" x14ac:dyDescent="0.2">
      <c r="A20" s="43" t="s">
        <v>19</v>
      </c>
      <c r="B20" s="46" t="s">
        <v>34</v>
      </c>
      <c r="C20" s="47" t="s">
        <v>33</v>
      </c>
      <c r="D20" s="47" t="s">
        <v>49</v>
      </c>
      <c r="E20" s="48" t="s">
        <v>26</v>
      </c>
      <c r="G20" t="str">
        <f>'Pivot Charts'!B20</f>
        <v>Fall</v>
      </c>
      <c r="H20" t="str">
        <f>'Pivot Charts'!C20</f>
        <v>Spring</v>
      </c>
      <c r="I20" t="str">
        <f>'Pivot Charts'!D20</f>
        <v>Summer</v>
      </c>
    </row>
    <row r="21" spans="1:9" x14ac:dyDescent="0.2">
      <c r="A21" s="46" t="s">
        <v>20</v>
      </c>
      <c r="B21" s="59"/>
      <c r="C21" s="60">
        <v>3.6908074534161486</v>
      </c>
      <c r="D21" s="60"/>
      <c r="E21" s="61">
        <v>3.6908074534161486</v>
      </c>
      <c r="F21" s="9" t="s">
        <v>20</v>
      </c>
      <c r="G21" s="20"/>
      <c r="H21" s="20">
        <f>'Pivot Charts'!C21</f>
        <v>3.6908074534161486</v>
      </c>
      <c r="I21" s="20"/>
    </row>
    <row r="22" spans="1:9" x14ac:dyDescent="0.2">
      <c r="A22" s="52" t="s">
        <v>21</v>
      </c>
      <c r="B22" s="62">
        <v>2.9612817229554578</v>
      </c>
      <c r="C22" s="20">
        <v>3.3030034187352011</v>
      </c>
      <c r="D22" s="20">
        <v>3.6769448373408768</v>
      </c>
      <c r="E22" s="63">
        <v>3.063285032845354</v>
      </c>
      <c r="F22" s="10" t="s">
        <v>21</v>
      </c>
      <c r="G22" s="20">
        <f>'Pivot Charts'!B22</f>
        <v>2.9612817229554578</v>
      </c>
      <c r="H22" s="20">
        <f>'Pivot Charts'!C22</f>
        <v>3.3030034187352011</v>
      </c>
      <c r="I22" s="20">
        <f>'Pivot Charts'!D22</f>
        <v>3.6769448373408768</v>
      </c>
    </row>
    <row r="23" spans="1:9" x14ac:dyDescent="0.2">
      <c r="A23" s="55" t="s">
        <v>26</v>
      </c>
      <c r="B23" s="64">
        <v>2.9612817229554578</v>
      </c>
      <c r="C23" s="65">
        <v>3.3911406993445072</v>
      </c>
      <c r="D23" s="65">
        <v>3.6769448373408768</v>
      </c>
      <c r="E23" s="66">
        <v>3.1010875883014259</v>
      </c>
      <c r="G23" s="20">
        <f>'Pivot Charts'!B23</f>
        <v>2.9612817229554578</v>
      </c>
      <c r="H23" s="20">
        <f>'Pivot Charts'!C23</f>
        <v>3.3911406993445072</v>
      </c>
      <c r="I23" s="20">
        <f>'Pivot Charts'!D23</f>
        <v>3.6769448373408768</v>
      </c>
    </row>
    <row r="24" spans="1:9" x14ac:dyDescent="0.2">
      <c r="A24" s="26"/>
      <c r="B24" s="27"/>
      <c r="C24" s="27"/>
      <c r="D24" s="27"/>
      <c r="E24" s="27"/>
      <c r="F24" s="27"/>
      <c r="G24" s="20"/>
      <c r="H24" s="20"/>
      <c r="I24" s="20"/>
    </row>
    <row r="25" spans="1:9" x14ac:dyDescent="0.2">
      <c r="A25" s="26"/>
      <c r="B25" s="27"/>
      <c r="C25" s="27"/>
      <c r="D25" s="27"/>
      <c r="E25" s="27"/>
      <c r="F25" s="27"/>
      <c r="G25" s="20"/>
      <c r="H25" s="20"/>
      <c r="I25" s="20"/>
    </row>
    <row r="26" spans="1:9" x14ac:dyDescent="0.2">
      <c r="A26" s="26"/>
      <c r="B26" s="27"/>
      <c r="C26" s="27"/>
      <c r="D26" s="27"/>
      <c r="E26" s="27"/>
      <c r="F26" s="27"/>
      <c r="G26" s="20"/>
      <c r="H26" s="20"/>
      <c r="I26" s="20"/>
    </row>
    <row r="27" spans="1:9" x14ac:dyDescent="0.2">
      <c r="A27" s="26"/>
      <c r="B27" s="27"/>
      <c r="C27" s="27"/>
      <c r="D27" s="27"/>
      <c r="E27" s="27"/>
      <c r="F27" s="27"/>
      <c r="G27" s="20"/>
      <c r="H27" s="20"/>
      <c r="I27" s="20"/>
    </row>
    <row r="28" spans="1:9" x14ac:dyDescent="0.2">
      <c r="D28" s="27"/>
      <c r="E28" s="27"/>
      <c r="F28" s="27"/>
      <c r="G28" s="20"/>
      <c r="H28" s="20"/>
      <c r="I28" s="20"/>
    </row>
    <row r="29" spans="1:9" x14ac:dyDescent="0.2">
      <c r="B29" t="s">
        <v>48</v>
      </c>
      <c r="D29" s="27"/>
      <c r="E29" s="27"/>
      <c r="F29" s="27"/>
      <c r="G29" s="20"/>
      <c r="H29" s="20"/>
      <c r="I29" s="20"/>
    </row>
    <row r="30" spans="1:9" x14ac:dyDescent="0.2">
      <c r="B30" t="s">
        <v>20</v>
      </c>
      <c r="C30" t="s">
        <v>44</v>
      </c>
      <c r="D30" s="27"/>
      <c r="E30" s="27"/>
      <c r="G30" t="s">
        <v>47</v>
      </c>
    </row>
    <row r="31" spans="1:9" x14ac:dyDescent="0.2">
      <c r="A31" s="9" t="s">
        <v>3</v>
      </c>
      <c r="B31" s="28">
        <f>'Pivot Charts'!B52/B41</f>
        <v>0.25</v>
      </c>
      <c r="C31" s="28">
        <f>'Pivot Charts'!C52/C62</f>
        <v>0.97619047619047616</v>
      </c>
      <c r="D31" s="27"/>
      <c r="E31" s="27"/>
    </row>
    <row r="32" spans="1:9" x14ac:dyDescent="0.2">
      <c r="A32" s="10" t="s">
        <v>22</v>
      </c>
      <c r="B32">
        <v>0</v>
      </c>
      <c r="C32" s="28">
        <f>'Pivot Charts'!C53/C41</f>
        <v>0</v>
      </c>
      <c r="D32" s="27"/>
      <c r="E32" s="27"/>
      <c r="H32" t="s">
        <v>20</v>
      </c>
      <c r="I32" t="s">
        <v>44</v>
      </c>
    </row>
    <row r="33" spans="1:9" x14ac:dyDescent="0.2">
      <c r="A33" s="10" t="s">
        <v>24</v>
      </c>
      <c r="B33" s="28">
        <f>'Pivot Charts'!B53</f>
        <v>0</v>
      </c>
      <c r="C33" s="28">
        <f>'Pivot Charts'!C54/C41</f>
        <v>9.5238095238095233E-2</v>
      </c>
      <c r="D33" s="27"/>
      <c r="E33" s="27"/>
      <c r="G33" s="9" t="s">
        <v>3</v>
      </c>
      <c r="H33" s="24">
        <f>'Pivot Charts'!E52/H41</f>
        <v>0.66666666666666663</v>
      </c>
      <c r="I33" s="24">
        <f>'Pivot Charts'!F52/I41</f>
        <v>0.97499999999999998</v>
      </c>
    </row>
    <row r="34" spans="1:9" x14ac:dyDescent="0.2">
      <c r="A34" s="10" t="s">
        <v>25</v>
      </c>
      <c r="B34" s="28">
        <f>'Pivot Charts'!B54</f>
        <v>0</v>
      </c>
      <c r="C34" s="28">
        <f>'Pivot Charts'!C55/C41</f>
        <v>4.7619047619047616E-2</v>
      </c>
      <c r="D34" s="27"/>
      <c r="E34" s="27"/>
      <c r="G34" s="10" t="s">
        <v>22</v>
      </c>
      <c r="H34" s="24">
        <f>'Pivot Charts'!E53/H41</f>
        <v>0</v>
      </c>
      <c r="I34" s="24">
        <f>'Pivot Charts'!F53/I41</f>
        <v>0.05</v>
      </c>
    </row>
    <row r="35" spans="1:9" x14ac:dyDescent="0.2">
      <c r="A35" s="10" t="s">
        <v>6</v>
      </c>
      <c r="B35" s="28">
        <f>'Pivot Charts'!B55</f>
        <v>0</v>
      </c>
      <c r="C35" s="28">
        <f>'Pivot Charts'!C56/C41</f>
        <v>0.14285714285714285</v>
      </c>
      <c r="D35" s="27"/>
      <c r="E35" s="27"/>
      <c r="G35" s="10" t="s">
        <v>24</v>
      </c>
      <c r="H35" s="24">
        <f>'Pivot Charts'!E54/H41</f>
        <v>0</v>
      </c>
      <c r="I35" s="24">
        <f>'Pivot Charts'!F54/I41</f>
        <v>0.125</v>
      </c>
    </row>
    <row r="36" spans="1:9" x14ac:dyDescent="0.2">
      <c r="A36" s="10" t="s">
        <v>56</v>
      </c>
      <c r="B36" s="28">
        <f>'Pivot Charts'!B56</f>
        <v>0</v>
      </c>
      <c r="C36" s="28">
        <f>'Pivot Charts'!C57/C41</f>
        <v>0.11904761904761904</v>
      </c>
      <c r="D36" s="27"/>
      <c r="E36" s="27"/>
      <c r="G36" s="10" t="s">
        <v>25</v>
      </c>
      <c r="H36" s="24">
        <f>'Pivot Charts'!E55/H41</f>
        <v>0</v>
      </c>
      <c r="I36" s="24">
        <f>'Pivot Charts'!F55/I41</f>
        <v>2.5000000000000001E-2</v>
      </c>
    </row>
    <row r="37" spans="1:9" x14ac:dyDescent="0.2">
      <c r="A37" s="10" t="s">
        <v>11</v>
      </c>
      <c r="B37" s="28">
        <f>'Pivot Charts'!B57</f>
        <v>0</v>
      </c>
      <c r="C37" s="28">
        <f>'Pivot Charts'!C58/C41</f>
        <v>0.61904761904761907</v>
      </c>
      <c r="D37" s="27"/>
      <c r="E37" s="27"/>
      <c r="G37" s="10" t="s">
        <v>6</v>
      </c>
      <c r="H37" s="24">
        <f>'Pivot Charts'!E56/H41</f>
        <v>0.16666666666666666</v>
      </c>
      <c r="I37" s="24">
        <f>'Pivot Charts'!F56/I41</f>
        <v>0.05</v>
      </c>
    </row>
    <row r="38" spans="1:9" x14ac:dyDescent="0.2">
      <c r="A38" s="10" t="s">
        <v>57</v>
      </c>
      <c r="B38" s="28">
        <f>'Pivot Charts'!B58</f>
        <v>0</v>
      </c>
      <c r="C38" s="28">
        <f>'Pivot Charts'!C59/C41</f>
        <v>0.11904761904761904</v>
      </c>
      <c r="D38" s="27"/>
      <c r="E38" s="27"/>
      <c r="G38" s="10" t="s">
        <v>56</v>
      </c>
      <c r="H38" s="24">
        <f>'Pivot Charts'!E57/H41</f>
        <v>0</v>
      </c>
      <c r="I38" s="24">
        <f>'Pivot Charts'!F57/I41</f>
        <v>7.4999999999999997E-2</v>
      </c>
    </row>
    <row r="39" spans="1:9" x14ac:dyDescent="0.2">
      <c r="A39" s="10" t="s">
        <v>58</v>
      </c>
      <c r="B39" s="28">
        <f>'Pivot Charts'!B60/B41</f>
        <v>0.25</v>
      </c>
      <c r="C39" s="28">
        <f>'Pivot Charts'!C60/C62</f>
        <v>0</v>
      </c>
      <c r="D39" s="27"/>
      <c r="E39" s="27"/>
      <c r="G39" s="10" t="s">
        <v>11</v>
      </c>
      <c r="H39" s="20">
        <f>'Pivot Charts'!E58</f>
        <v>0</v>
      </c>
      <c r="I39" s="20">
        <f>'Pivot Charts'!F58/I41</f>
        <v>0.47499999999999998</v>
      </c>
    </row>
    <row r="40" spans="1:9" x14ac:dyDescent="0.2">
      <c r="A40" s="10" t="s">
        <v>7</v>
      </c>
      <c r="B40" s="28"/>
      <c r="C40" s="28">
        <f>'Pivot Charts'!C61/C41</f>
        <v>2.3809523809523808E-2</v>
      </c>
      <c r="D40" s="27"/>
      <c r="E40" s="27"/>
      <c r="F40" s="27"/>
      <c r="G40" s="10" t="s">
        <v>57</v>
      </c>
      <c r="H40" s="20">
        <f>'Pivot Charts'!E59</f>
        <v>0</v>
      </c>
      <c r="I40" s="20">
        <f>'Pivot Charts'!F59/I41</f>
        <v>0.05</v>
      </c>
    </row>
    <row r="41" spans="1:9" x14ac:dyDescent="0.2">
      <c r="A41" s="21" t="s">
        <v>43</v>
      </c>
      <c r="B41" s="22">
        <v>4</v>
      </c>
      <c r="C41" s="23">
        <f>C62</f>
        <v>42</v>
      </c>
      <c r="D41" s="27"/>
      <c r="E41" s="27"/>
      <c r="F41" s="27"/>
      <c r="G41" s="20" t="s">
        <v>2</v>
      </c>
      <c r="H41" s="20">
        <f>'Pivot Charts'!$E$62</f>
        <v>6</v>
      </c>
      <c r="I41" s="20">
        <f>'Pivot Charts'!$F$62</f>
        <v>40</v>
      </c>
    </row>
    <row r="42" spans="1:9" x14ac:dyDescent="0.2">
      <c r="A42" s="26"/>
      <c r="B42" s="27"/>
      <c r="C42" s="27"/>
      <c r="D42" s="27"/>
      <c r="E42" s="27"/>
      <c r="F42" s="27"/>
      <c r="G42" s="20"/>
      <c r="H42" s="20"/>
      <c r="I42" s="20"/>
    </row>
    <row r="43" spans="1:9" x14ac:dyDescent="0.2">
      <c r="A43" s="26"/>
      <c r="B43" s="27"/>
      <c r="C43" s="27"/>
      <c r="D43" s="27"/>
      <c r="E43" s="27"/>
      <c r="F43" s="27"/>
      <c r="G43" s="20"/>
      <c r="H43" s="20"/>
      <c r="I43" s="20"/>
    </row>
    <row r="44" spans="1:9" x14ac:dyDescent="0.2">
      <c r="A44" s="26"/>
      <c r="B44" s="27"/>
      <c r="C44" s="27"/>
      <c r="D44" s="27"/>
      <c r="E44" s="27"/>
      <c r="F44" s="27"/>
      <c r="G44" s="20"/>
      <c r="H44" s="20"/>
      <c r="I44" s="20"/>
    </row>
    <row r="45" spans="1:9" x14ac:dyDescent="0.2">
      <c r="A45" s="26"/>
      <c r="B45" s="27"/>
      <c r="C45" s="27"/>
      <c r="D45" s="27"/>
      <c r="E45" s="27"/>
      <c r="F45" s="27"/>
      <c r="G45" s="20"/>
      <c r="H45" s="20"/>
      <c r="I45" s="20"/>
    </row>
    <row r="49" spans="1:8" x14ac:dyDescent="0.2">
      <c r="A49" s="46"/>
      <c r="B49" s="43" t="s">
        <v>2</v>
      </c>
      <c r="C49" s="67" t="s">
        <v>19</v>
      </c>
      <c r="D49" s="44"/>
      <c r="E49" s="44"/>
      <c r="F49" s="44"/>
      <c r="G49" s="44"/>
      <c r="H49" s="45"/>
    </row>
    <row r="50" spans="1:8" x14ac:dyDescent="0.2">
      <c r="A50" s="68"/>
      <c r="B50" s="46" t="s">
        <v>17</v>
      </c>
      <c r="C50" s="44"/>
      <c r="D50" s="46" t="s">
        <v>45</v>
      </c>
      <c r="E50" s="46" t="s">
        <v>14</v>
      </c>
      <c r="F50" s="44"/>
      <c r="G50" s="46" t="s">
        <v>46</v>
      </c>
      <c r="H50" s="48" t="s">
        <v>26</v>
      </c>
    </row>
    <row r="51" spans="1:8" x14ac:dyDescent="0.2">
      <c r="A51" s="43" t="s">
        <v>36</v>
      </c>
      <c r="B51" s="46" t="s">
        <v>20</v>
      </c>
      <c r="C51" s="47" t="s">
        <v>21</v>
      </c>
      <c r="D51" s="68"/>
      <c r="E51" s="46" t="s">
        <v>20</v>
      </c>
      <c r="F51" s="47" t="s">
        <v>21</v>
      </c>
      <c r="G51" s="68"/>
      <c r="H51" s="69"/>
    </row>
    <row r="52" spans="1:8" x14ac:dyDescent="0.2">
      <c r="A52" s="46" t="s">
        <v>35</v>
      </c>
      <c r="B52" s="59">
        <v>1</v>
      </c>
      <c r="C52" s="60">
        <v>41</v>
      </c>
      <c r="D52" s="59">
        <v>42</v>
      </c>
      <c r="E52" s="59">
        <v>4</v>
      </c>
      <c r="F52" s="60">
        <v>39</v>
      </c>
      <c r="G52" s="59">
        <v>43</v>
      </c>
      <c r="H52" s="61">
        <v>85</v>
      </c>
    </row>
    <row r="53" spans="1:8" x14ac:dyDescent="0.2">
      <c r="A53" s="52" t="s">
        <v>37</v>
      </c>
      <c r="B53" s="62"/>
      <c r="C53" s="20"/>
      <c r="D53" s="62"/>
      <c r="E53" s="62"/>
      <c r="F53" s="20">
        <v>2</v>
      </c>
      <c r="G53" s="62">
        <v>2</v>
      </c>
      <c r="H53" s="63">
        <v>2</v>
      </c>
    </row>
    <row r="54" spans="1:8" x14ac:dyDescent="0.2">
      <c r="A54" s="52" t="s">
        <v>38</v>
      </c>
      <c r="B54" s="62"/>
      <c r="C54" s="20">
        <v>4</v>
      </c>
      <c r="D54" s="62">
        <v>4</v>
      </c>
      <c r="E54" s="62"/>
      <c r="F54" s="20">
        <v>5</v>
      </c>
      <c r="G54" s="62">
        <v>5</v>
      </c>
      <c r="H54" s="63">
        <v>9</v>
      </c>
    </row>
    <row r="55" spans="1:8" x14ac:dyDescent="0.2">
      <c r="A55" s="52" t="s">
        <v>39</v>
      </c>
      <c r="B55" s="62"/>
      <c r="C55" s="20">
        <v>2</v>
      </c>
      <c r="D55" s="62">
        <v>2</v>
      </c>
      <c r="E55" s="62"/>
      <c r="F55" s="20">
        <v>1</v>
      </c>
      <c r="G55" s="62">
        <v>1</v>
      </c>
      <c r="H55" s="63">
        <v>3</v>
      </c>
    </row>
    <row r="56" spans="1:8" x14ac:dyDescent="0.2">
      <c r="A56" s="52" t="s">
        <v>40</v>
      </c>
      <c r="B56" s="62"/>
      <c r="C56" s="20">
        <v>6</v>
      </c>
      <c r="D56" s="62">
        <v>6</v>
      </c>
      <c r="E56" s="62">
        <v>1</v>
      </c>
      <c r="F56" s="20">
        <v>2</v>
      </c>
      <c r="G56" s="62">
        <v>3</v>
      </c>
      <c r="H56" s="63">
        <v>9</v>
      </c>
    </row>
    <row r="57" spans="1:8" x14ac:dyDescent="0.2">
      <c r="A57" s="52" t="s">
        <v>59</v>
      </c>
      <c r="B57" s="62"/>
      <c r="C57" s="20">
        <v>5</v>
      </c>
      <c r="D57" s="62">
        <v>5</v>
      </c>
      <c r="E57" s="62"/>
      <c r="F57" s="20">
        <v>3</v>
      </c>
      <c r="G57" s="62">
        <v>3</v>
      </c>
      <c r="H57" s="63">
        <v>8</v>
      </c>
    </row>
    <row r="58" spans="1:8" x14ac:dyDescent="0.2">
      <c r="A58" s="52" t="s">
        <v>41</v>
      </c>
      <c r="B58" s="62"/>
      <c r="C58" s="20">
        <v>26</v>
      </c>
      <c r="D58" s="62">
        <v>26</v>
      </c>
      <c r="E58" s="62"/>
      <c r="F58" s="20">
        <v>19</v>
      </c>
      <c r="G58" s="62">
        <v>19</v>
      </c>
      <c r="H58" s="63">
        <v>45</v>
      </c>
    </row>
    <row r="59" spans="1:8" x14ac:dyDescent="0.2">
      <c r="A59" s="52" t="s">
        <v>60</v>
      </c>
      <c r="B59" s="62"/>
      <c r="C59" s="20">
        <v>5</v>
      </c>
      <c r="D59" s="62">
        <v>5</v>
      </c>
      <c r="E59" s="62"/>
      <c r="F59" s="20">
        <v>2</v>
      </c>
      <c r="G59" s="62">
        <v>2</v>
      </c>
      <c r="H59" s="63">
        <v>7</v>
      </c>
    </row>
    <row r="60" spans="1:8" x14ac:dyDescent="0.2">
      <c r="A60" s="52" t="s">
        <v>61</v>
      </c>
      <c r="B60" s="62">
        <v>1</v>
      </c>
      <c r="C60" s="20"/>
      <c r="D60" s="62">
        <v>1</v>
      </c>
      <c r="E60" s="62"/>
      <c r="F60" s="20"/>
      <c r="G60" s="62"/>
      <c r="H60" s="63">
        <v>1</v>
      </c>
    </row>
    <row r="61" spans="1:8" x14ac:dyDescent="0.2">
      <c r="A61" s="52" t="s">
        <v>42</v>
      </c>
      <c r="B61" s="62"/>
      <c r="C61" s="20">
        <v>1</v>
      </c>
      <c r="D61" s="62">
        <v>1</v>
      </c>
      <c r="E61" s="62">
        <v>1</v>
      </c>
      <c r="F61" s="20"/>
      <c r="G61" s="62">
        <v>1</v>
      </c>
      <c r="H61" s="63">
        <v>2</v>
      </c>
    </row>
    <row r="62" spans="1:8" x14ac:dyDescent="0.2">
      <c r="A62" s="70" t="s">
        <v>43</v>
      </c>
      <c r="B62" s="71">
        <v>4</v>
      </c>
      <c r="C62" s="72">
        <v>42</v>
      </c>
      <c r="D62" s="71">
        <v>46</v>
      </c>
      <c r="E62" s="71">
        <v>6</v>
      </c>
      <c r="F62" s="72">
        <v>40</v>
      </c>
      <c r="G62" s="71">
        <v>46</v>
      </c>
      <c r="H62" s="73">
        <v>92</v>
      </c>
    </row>
    <row r="72" spans="1:9" x14ac:dyDescent="0.2">
      <c r="B72" s="29" t="s">
        <v>63</v>
      </c>
      <c r="F72" s="32"/>
      <c r="G72" s="32" t="s">
        <v>62</v>
      </c>
      <c r="H72" s="32" t="s">
        <v>64</v>
      </c>
      <c r="I72" s="32" t="s">
        <v>65</v>
      </c>
    </row>
    <row r="73" spans="1:9" x14ac:dyDescent="0.2">
      <c r="A73" s="29" t="s">
        <v>67</v>
      </c>
      <c r="B73" t="s">
        <v>62</v>
      </c>
      <c r="C73" t="s">
        <v>64</v>
      </c>
      <c r="D73" t="s">
        <v>65</v>
      </c>
      <c r="F73" s="31">
        <v>2002</v>
      </c>
      <c r="G73" s="19">
        <v>0</v>
      </c>
      <c r="H73" s="19">
        <v>0</v>
      </c>
      <c r="I73" s="19">
        <v>0</v>
      </c>
    </row>
    <row r="74" spans="1:9" x14ac:dyDescent="0.2">
      <c r="A74" s="31">
        <v>2002</v>
      </c>
      <c r="B74" s="19">
        <v>0</v>
      </c>
      <c r="C74" s="19">
        <v>0</v>
      </c>
      <c r="D74" s="19">
        <v>0</v>
      </c>
      <c r="F74" s="31">
        <v>2003</v>
      </c>
      <c r="G74" s="19">
        <v>0</v>
      </c>
      <c r="H74" s="19">
        <v>0</v>
      </c>
      <c r="I74" s="19">
        <v>2</v>
      </c>
    </row>
    <row r="75" spans="1:9" x14ac:dyDescent="0.2">
      <c r="A75" s="31">
        <v>2003</v>
      </c>
      <c r="B75" s="19">
        <v>0</v>
      </c>
      <c r="C75" s="19">
        <v>0</v>
      </c>
      <c r="D75" s="19">
        <v>2</v>
      </c>
      <c r="F75" s="31">
        <v>2004</v>
      </c>
      <c r="G75" s="19">
        <v>0</v>
      </c>
      <c r="H75" s="19">
        <v>0</v>
      </c>
      <c r="I75" s="19">
        <v>0</v>
      </c>
    </row>
    <row r="76" spans="1:9" x14ac:dyDescent="0.2">
      <c r="A76" s="31">
        <v>2004</v>
      </c>
      <c r="B76" s="19">
        <v>0</v>
      </c>
      <c r="C76" s="19">
        <v>0</v>
      </c>
      <c r="D76" s="19">
        <v>0</v>
      </c>
      <c r="F76" s="31">
        <v>2005</v>
      </c>
      <c r="G76" s="19">
        <v>0</v>
      </c>
      <c r="H76" s="19">
        <v>0</v>
      </c>
      <c r="I76" s="19">
        <v>0</v>
      </c>
    </row>
    <row r="77" spans="1:9" x14ac:dyDescent="0.2">
      <c r="A77" s="31">
        <v>2005</v>
      </c>
      <c r="B77" s="19">
        <v>0</v>
      </c>
      <c r="C77" s="19">
        <v>0</v>
      </c>
      <c r="D77" s="19">
        <v>0</v>
      </c>
      <c r="F77" s="31">
        <v>2006</v>
      </c>
      <c r="G77" s="19">
        <v>0</v>
      </c>
      <c r="H77" s="19">
        <v>0</v>
      </c>
      <c r="I77" s="19">
        <v>0</v>
      </c>
    </row>
    <row r="78" spans="1:9" x14ac:dyDescent="0.2">
      <c r="A78" s="31">
        <v>2006</v>
      </c>
      <c r="B78" s="19">
        <v>0</v>
      </c>
      <c r="C78" s="19">
        <v>0</v>
      </c>
      <c r="D78" s="19">
        <v>0</v>
      </c>
      <c r="F78" s="31">
        <v>2007</v>
      </c>
      <c r="G78" s="19">
        <v>0</v>
      </c>
      <c r="H78" s="19">
        <v>0</v>
      </c>
      <c r="I78" s="19">
        <v>0</v>
      </c>
    </row>
    <row r="79" spans="1:9" x14ac:dyDescent="0.2">
      <c r="A79" s="31">
        <v>2007</v>
      </c>
      <c r="B79" s="19">
        <v>0</v>
      </c>
      <c r="C79" s="19">
        <v>0</v>
      </c>
      <c r="D79" s="19">
        <v>0</v>
      </c>
      <c r="F79" s="31">
        <v>2008</v>
      </c>
      <c r="G79" s="19">
        <v>0</v>
      </c>
      <c r="H79" s="19">
        <v>1</v>
      </c>
      <c r="I79" s="19">
        <v>0</v>
      </c>
    </row>
    <row r="80" spans="1:9" x14ac:dyDescent="0.2">
      <c r="A80" s="31">
        <v>2008</v>
      </c>
      <c r="B80" s="19">
        <v>0</v>
      </c>
      <c r="C80" s="19">
        <v>1</v>
      </c>
      <c r="D80" s="19">
        <v>0</v>
      </c>
      <c r="F80" s="31">
        <v>2009</v>
      </c>
      <c r="G80" s="19">
        <v>0</v>
      </c>
      <c r="H80" s="19">
        <v>15</v>
      </c>
      <c r="I80" s="19">
        <v>0</v>
      </c>
    </row>
    <row r="81" spans="1:9" x14ac:dyDescent="0.2">
      <c r="A81" s="31">
        <v>2009</v>
      </c>
      <c r="B81" s="19">
        <v>0</v>
      </c>
      <c r="C81" s="19">
        <v>15</v>
      </c>
      <c r="D81" s="19">
        <v>0</v>
      </c>
      <c r="F81" s="31">
        <v>2010</v>
      </c>
      <c r="G81" s="19">
        <v>0</v>
      </c>
      <c r="H81" s="19">
        <v>7</v>
      </c>
      <c r="I81" s="19">
        <v>0</v>
      </c>
    </row>
    <row r="82" spans="1:9" x14ac:dyDescent="0.2">
      <c r="A82" s="31">
        <v>2010</v>
      </c>
      <c r="B82" s="19">
        <v>0</v>
      </c>
      <c r="C82" s="19">
        <v>7</v>
      </c>
      <c r="D82" s="19">
        <v>0</v>
      </c>
      <c r="F82" s="31">
        <v>2011</v>
      </c>
      <c r="G82" s="19">
        <v>0</v>
      </c>
      <c r="H82" s="19">
        <v>1</v>
      </c>
      <c r="I82" s="19">
        <v>0</v>
      </c>
    </row>
    <row r="83" spans="1:9" x14ac:dyDescent="0.2">
      <c r="A83" s="31">
        <v>2011</v>
      </c>
      <c r="B83" s="19">
        <v>0</v>
      </c>
      <c r="C83" s="19">
        <v>1</v>
      </c>
      <c r="D83" s="19">
        <v>0</v>
      </c>
      <c r="F83" s="31">
        <v>2012</v>
      </c>
      <c r="G83" s="19">
        <v>3</v>
      </c>
      <c r="H83" s="19">
        <v>0</v>
      </c>
      <c r="I83" s="19">
        <v>0</v>
      </c>
    </row>
    <row r="84" spans="1:9" x14ac:dyDescent="0.2">
      <c r="A84" s="31">
        <v>2012</v>
      </c>
      <c r="B84" s="19">
        <v>3</v>
      </c>
      <c r="C84" s="19">
        <v>0</v>
      </c>
      <c r="D84" s="19">
        <v>0</v>
      </c>
      <c r="F84" s="31">
        <v>2013</v>
      </c>
      <c r="G84" s="19">
        <v>29</v>
      </c>
      <c r="H84" s="19">
        <v>0</v>
      </c>
      <c r="I84" s="19">
        <v>0</v>
      </c>
    </row>
    <row r="85" spans="1:9" x14ac:dyDescent="0.2">
      <c r="A85" s="31">
        <v>2013</v>
      </c>
      <c r="B85" s="19">
        <v>29</v>
      </c>
      <c r="C85" s="19">
        <v>0</v>
      </c>
      <c r="D85" s="19">
        <v>0</v>
      </c>
      <c r="F85" s="31">
        <v>2014</v>
      </c>
      <c r="G85" s="19">
        <v>10</v>
      </c>
      <c r="H85" s="19">
        <v>0</v>
      </c>
      <c r="I85" s="19">
        <v>0</v>
      </c>
    </row>
    <row r="86" spans="1:9" x14ac:dyDescent="0.2">
      <c r="A86" s="31">
        <v>2014</v>
      </c>
      <c r="B86" s="19">
        <v>10</v>
      </c>
      <c r="C86" s="19">
        <v>0</v>
      </c>
      <c r="D86" s="19">
        <v>0</v>
      </c>
      <c r="F86" s="31">
        <v>2015</v>
      </c>
      <c r="G86" s="19">
        <v>0</v>
      </c>
      <c r="H86" s="19">
        <v>0</v>
      </c>
      <c r="I86" s="19">
        <v>0</v>
      </c>
    </row>
    <row r="87" spans="1:9" x14ac:dyDescent="0.2">
      <c r="A87" s="31">
        <v>2015</v>
      </c>
      <c r="B87" s="19">
        <v>0</v>
      </c>
      <c r="C87" s="19">
        <v>0</v>
      </c>
      <c r="D87" s="19">
        <v>0</v>
      </c>
      <c r="F87" s="31">
        <v>2016</v>
      </c>
      <c r="G87" s="19">
        <v>4</v>
      </c>
      <c r="H87" s="19">
        <v>0</v>
      </c>
      <c r="I87" s="19">
        <v>0</v>
      </c>
    </row>
    <row r="88" spans="1:9" x14ac:dyDescent="0.2">
      <c r="A88" s="31">
        <v>2016</v>
      </c>
      <c r="B88" s="19">
        <v>4</v>
      </c>
      <c r="C88" s="19">
        <v>0</v>
      </c>
      <c r="D88" s="19">
        <v>0</v>
      </c>
      <c r="F88" s="31">
        <v>2017</v>
      </c>
      <c r="G88" s="19">
        <v>0</v>
      </c>
      <c r="H88" s="19">
        <v>0</v>
      </c>
      <c r="I88" s="19">
        <v>0</v>
      </c>
    </row>
    <row r="89" spans="1:9" x14ac:dyDescent="0.2">
      <c r="A89" s="31">
        <v>2017</v>
      </c>
      <c r="B89" s="19">
        <v>0</v>
      </c>
      <c r="C89" s="19">
        <v>0</v>
      </c>
      <c r="D89" s="19">
        <v>0</v>
      </c>
      <c r="F89" s="31">
        <v>2018</v>
      </c>
      <c r="G89" s="19">
        <v>0</v>
      </c>
      <c r="H89" s="19">
        <v>0</v>
      </c>
      <c r="I89" s="19">
        <v>0</v>
      </c>
    </row>
    <row r="90" spans="1:9" x14ac:dyDescent="0.2">
      <c r="A90" s="31">
        <v>2018</v>
      </c>
      <c r="B90" s="19">
        <v>0</v>
      </c>
      <c r="C90" s="19">
        <v>0</v>
      </c>
      <c r="D90" s="19">
        <v>0</v>
      </c>
    </row>
    <row r="91" spans="1:9" x14ac:dyDescent="0.2">
      <c r="A91" s="31" t="s">
        <v>26</v>
      </c>
      <c r="B91" s="19">
        <v>46</v>
      </c>
      <c r="C91" s="19">
        <v>24</v>
      </c>
      <c r="D91" s="19">
        <v>2</v>
      </c>
    </row>
    <row r="95" spans="1:9" x14ac:dyDescent="0.2">
      <c r="A95" s="43" t="s">
        <v>27</v>
      </c>
      <c r="B95" s="44"/>
      <c r="C95" s="43" t="s">
        <v>19</v>
      </c>
      <c r="D95" s="44"/>
      <c r="E95" s="45"/>
    </row>
    <row r="96" spans="1:9" x14ac:dyDescent="0.2">
      <c r="A96" s="43" t="s">
        <v>2</v>
      </c>
      <c r="B96" s="43" t="s">
        <v>66</v>
      </c>
      <c r="C96" s="46" t="s">
        <v>20</v>
      </c>
      <c r="D96" s="47" t="s">
        <v>21</v>
      </c>
      <c r="E96" s="48" t="s">
        <v>26</v>
      </c>
      <c r="G96" s="9" t="s">
        <v>66</v>
      </c>
      <c r="H96" s="25" t="s">
        <v>47</v>
      </c>
    </row>
    <row r="97" spans="1:11" x14ac:dyDescent="0.2">
      <c r="A97" s="46" t="s">
        <v>14</v>
      </c>
      <c r="B97" s="74">
        <v>2002</v>
      </c>
      <c r="C97" s="49">
        <v>6.2</v>
      </c>
      <c r="D97" s="50"/>
      <c r="E97" s="51">
        <v>6.2</v>
      </c>
      <c r="H97" s="35" t="s">
        <v>71</v>
      </c>
      <c r="I97" s="36" t="s">
        <v>69</v>
      </c>
      <c r="J97" s="25" t="s">
        <v>72</v>
      </c>
      <c r="K97" s="25" t="s">
        <v>70</v>
      </c>
    </row>
    <row r="98" spans="1:11" x14ac:dyDescent="0.2">
      <c r="A98" s="68"/>
      <c r="B98" s="75">
        <v>2003</v>
      </c>
      <c r="C98" s="53">
        <v>1</v>
      </c>
      <c r="D98" s="19"/>
      <c r="E98" s="54">
        <v>1</v>
      </c>
      <c r="G98" s="33">
        <v>2002</v>
      </c>
      <c r="H98" s="16">
        <v>6.2</v>
      </c>
      <c r="I98" s="17"/>
      <c r="J98" s="16">
        <v>0</v>
      </c>
      <c r="K98" s="17"/>
    </row>
    <row r="99" spans="1:11" x14ac:dyDescent="0.2">
      <c r="A99" s="68"/>
      <c r="B99" s="75">
        <v>2004</v>
      </c>
      <c r="C99" s="53"/>
      <c r="D99" s="19">
        <v>35.5</v>
      </c>
      <c r="E99" s="54">
        <v>35.5</v>
      </c>
      <c r="G99" s="34">
        <v>2003</v>
      </c>
      <c r="H99" s="18">
        <v>1</v>
      </c>
      <c r="I99" s="19"/>
      <c r="J99" s="18">
        <v>14</v>
      </c>
      <c r="K99" s="19"/>
    </row>
    <row r="100" spans="1:11" x14ac:dyDescent="0.2">
      <c r="A100" s="68"/>
      <c r="B100" s="75">
        <v>2005</v>
      </c>
      <c r="C100" s="53"/>
      <c r="D100" s="19">
        <v>103</v>
      </c>
      <c r="E100" s="54">
        <v>103</v>
      </c>
      <c r="G100" s="34">
        <v>2004</v>
      </c>
      <c r="H100" s="18"/>
      <c r="I100" s="19">
        <v>37.5</v>
      </c>
      <c r="J100" s="18"/>
      <c r="K100" s="19">
        <v>71.25</v>
      </c>
    </row>
    <row r="101" spans="1:11" x14ac:dyDescent="0.2">
      <c r="A101" s="68"/>
      <c r="B101" s="75">
        <v>2006</v>
      </c>
      <c r="C101" s="53"/>
      <c r="D101" s="19">
        <v>206.5</v>
      </c>
      <c r="E101" s="54">
        <v>206.5</v>
      </c>
      <c r="G101" s="34">
        <v>2005</v>
      </c>
      <c r="H101" s="18"/>
      <c r="I101" s="19">
        <v>102.5</v>
      </c>
      <c r="J101" s="18"/>
      <c r="K101" s="19">
        <v>174.33333333333334</v>
      </c>
    </row>
    <row r="102" spans="1:11" x14ac:dyDescent="0.2">
      <c r="A102" s="68"/>
      <c r="B102" s="75">
        <v>2007</v>
      </c>
      <c r="C102" s="53"/>
      <c r="D102" s="19">
        <v>668</v>
      </c>
      <c r="E102" s="54">
        <v>668</v>
      </c>
      <c r="G102" s="34">
        <v>2006</v>
      </c>
      <c r="H102" s="18"/>
      <c r="I102" s="19">
        <v>206.5</v>
      </c>
      <c r="J102" s="18"/>
      <c r="K102" s="19">
        <v>66.5</v>
      </c>
    </row>
    <row r="103" spans="1:11" x14ac:dyDescent="0.2">
      <c r="A103" s="68"/>
      <c r="B103" s="75">
        <v>2008</v>
      </c>
      <c r="C103" s="53"/>
      <c r="D103" s="19">
        <v>172.75</v>
      </c>
      <c r="E103" s="54">
        <v>172.75</v>
      </c>
      <c r="G103" s="34">
        <v>2007</v>
      </c>
      <c r="H103" s="18"/>
      <c r="I103" s="19">
        <v>668</v>
      </c>
      <c r="J103" s="18"/>
      <c r="K103" s="19">
        <v>312.5</v>
      </c>
    </row>
    <row r="104" spans="1:11" x14ac:dyDescent="0.2">
      <c r="A104" s="68"/>
      <c r="B104" s="75">
        <v>2009</v>
      </c>
      <c r="C104" s="53"/>
      <c r="D104" s="19">
        <v>8</v>
      </c>
      <c r="E104" s="54">
        <v>8</v>
      </c>
      <c r="G104" s="34">
        <v>2008</v>
      </c>
      <c r="H104" s="18"/>
      <c r="I104" s="19">
        <v>172.75</v>
      </c>
      <c r="J104" s="18"/>
      <c r="K104" s="19">
        <v>92.5</v>
      </c>
    </row>
    <row r="105" spans="1:11" x14ac:dyDescent="0.2">
      <c r="A105" s="68"/>
      <c r="B105" s="75">
        <v>2010</v>
      </c>
      <c r="C105" s="53"/>
      <c r="D105" s="19">
        <v>204.5</v>
      </c>
      <c r="E105" s="54">
        <v>204.5</v>
      </c>
      <c r="G105" s="34">
        <v>2009</v>
      </c>
      <c r="H105" s="18"/>
      <c r="I105" s="19">
        <v>8</v>
      </c>
      <c r="J105" s="18"/>
      <c r="K105" s="19">
        <v>22</v>
      </c>
    </row>
    <row r="106" spans="1:11" x14ac:dyDescent="0.2">
      <c r="A106" s="68"/>
      <c r="B106" s="75">
        <v>2011</v>
      </c>
      <c r="C106" s="53"/>
      <c r="D106" s="19">
        <v>233.5</v>
      </c>
      <c r="E106" s="54">
        <v>233.5</v>
      </c>
      <c r="G106" s="34">
        <v>2010</v>
      </c>
      <c r="H106" s="18"/>
      <c r="I106" s="19">
        <v>204.5</v>
      </c>
      <c r="J106" s="18"/>
      <c r="K106" s="19">
        <v>50</v>
      </c>
    </row>
    <row r="107" spans="1:11" x14ac:dyDescent="0.2">
      <c r="A107" s="68"/>
      <c r="B107" s="75">
        <v>2012</v>
      </c>
      <c r="C107" s="53"/>
      <c r="D107" s="19">
        <v>98</v>
      </c>
      <c r="E107" s="54">
        <v>98</v>
      </c>
      <c r="G107" s="34">
        <v>2011</v>
      </c>
      <c r="H107" s="18"/>
      <c r="I107" s="19">
        <v>233.5</v>
      </c>
      <c r="J107" s="18"/>
      <c r="K107" s="19">
        <v>46</v>
      </c>
    </row>
    <row r="108" spans="1:11" x14ac:dyDescent="0.2">
      <c r="A108" s="68"/>
      <c r="B108" s="75">
        <v>2013</v>
      </c>
      <c r="C108" s="53"/>
      <c r="D108" s="19">
        <v>62.5</v>
      </c>
      <c r="E108" s="54">
        <v>62.5</v>
      </c>
      <c r="G108" s="34">
        <v>2012</v>
      </c>
      <c r="H108" s="18"/>
      <c r="I108" s="19">
        <v>98</v>
      </c>
      <c r="J108" s="18"/>
      <c r="K108" s="19">
        <v>223</v>
      </c>
    </row>
    <row r="109" spans="1:11" x14ac:dyDescent="0.2">
      <c r="A109" s="68"/>
      <c r="B109" s="75">
        <v>2014</v>
      </c>
      <c r="C109" s="53"/>
      <c r="D109" s="19">
        <v>137.5</v>
      </c>
      <c r="E109" s="54">
        <v>137.5</v>
      </c>
      <c r="G109" s="34">
        <v>2013</v>
      </c>
      <c r="H109" s="18"/>
      <c r="I109" s="19">
        <v>62.5</v>
      </c>
      <c r="J109" s="18"/>
      <c r="K109" s="19">
        <v>4</v>
      </c>
    </row>
    <row r="110" spans="1:11" x14ac:dyDescent="0.2">
      <c r="A110" s="68"/>
      <c r="B110" s="75">
        <v>2015</v>
      </c>
      <c r="C110" s="53"/>
      <c r="D110" s="19">
        <v>10.5</v>
      </c>
      <c r="E110" s="54">
        <v>10.5</v>
      </c>
      <c r="G110" s="34">
        <v>2014</v>
      </c>
      <c r="H110" s="18"/>
      <c r="I110" s="19">
        <v>137.5</v>
      </c>
      <c r="J110" s="18"/>
      <c r="K110" s="19">
        <v>169</v>
      </c>
    </row>
    <row r="111" spans="1:11" x14ac:dyDescent="0.2">
      <c r="A111" s="68"/>
      <c r="B111" s="75">
        <v>2016</v>
      </c>
      <c r="C111" s="53"/>
      <c r="D111" s="19">
        <v>131.5</v>
      </c>
      <c r="E111" s="54">
        <v>131.5</v>
      </c>
      <c r="G111" s="34">
        <v>2015</v>
      </c>
      <c r="H111" s="18"/>
      <c r="I111" s="19">
        <v>10.5</v>
      </c>
      <c r="J111" s="18"/>
      <c r="K111" s="19">
        <v>51.5</v>
      </c>
    </row>
    <row r="112" spans="1:11" x14ac:dyDescent="0.2">
      <c r="A112" s="68"/>
      <c r="B112" s="75">
        <v>2017</v>
      </c>
      <c r="C112" s="53"/>
      <c r="D112" s="19">
        <v>15.5</v>
      </c>
      <c r="E112" s="54">
        <v>15.5</v>
      </c>
      <c r="G112" s="77">
        <v>2016</v>
      </c>
      <c r="I112" s="19">
        <v>131.5</v>
      </c>
      <c r="K112" s="19">
        <v>61</v>
      </c>
    </row>
    <row r="113" spans="1:11" x14ac:dyDescent="0.2">
      <c r="A113" s="68"/>
      <c r="B113" s="75">
        <v>2018</v>
      </c>
      <c r="C113" s="53"/>
      <c r="D113" s="19">
        <v>86</v>
      </c>
      <c r="E113" s="54">
        <v>86</v>
      </c>
      <c r="G113" s="77">
        <v>2017</v>
      </c>
      <c r="I113" s="19">
        <v>15.5</v>
      </c>
      <c r="K113" s="19">
        <v>11</v>
      </c>
    </row>
    <row r="114" spans="1:11" x14ac:dyDescent="0.2">
      <c r="A114" s="46" t="s">
        <v>46</v>
      </c>
      <c r="B114" s="44"/>
      <c r="C114" s="49">
        <v>5.333333333333333</v>
      </c>
      <c r="D114" s="50">
        <v>142.65</v>
      </c>
      <c r="E114" s="51">
        <v>124.73913043478261</v>
      </c>
      <c r="G114" s="77">
        <v>2018</v>
      </c>
      <c r="I114" s="83">
        <v>156</v>
      </c>
      <c r="K114" s="19">
        <v>4</v>
      </c>
    </row>
    <row r="115" spans="1:11" x14ac:dyDescent="0.2">
      <c r="A115" s="46" t="s">
        <v>17</v>
      </c>
      <c r="B115" s="74">
        <v>2002</v>
      </c>
      <c r="C115" s="49">
        <v>0</v>
      </c>
      <c r="D115" s="50"/>
      <c r="E115" s="51">
        <v>0</v>
      </c>
      <c r="H115" s="25" t="s">
        <v>48</v>
      </c>
    </row>
    <row r="116" spans="1:11" x14ac:dyDescent="0.2">
      <c r="A116" s="68"/>
      <c r="B116" s="75">
        <v>2003</v>
      </c>
      <c r="C116" s="53">
        <v>14</v>
      </c>
      <c r="D116" s="19"/>
      <c r="E116" s="54">
        <v>14</v>
      </c>
      <c r="H116" s="25" t="s">
        <v>20</v>
      </c>
      <c r="I116" s="25" t="s">
        <v>21</v>
      </c>
    </row>
    <row r="117" spans="1:11" x14ac:dyDescent="0.2">
      <c r="A117" s="68"/>
      <c r="B117" s="75">
        <v>2004</v>
      </c>
      <c r="C117" s="53"/>
      <c r="D117" s="19">
        <v>73</v>
      </c>
      <c r="E117" s="54">
        <v>73</v>
      </c>
      <c r="G117" s="33">
        <v>2002</v>
      </c>
      <c r="H117" s="16">
        <v>0</v>
      </c>
      <c r="I117" s="17"/>
      <c r="J117" s="12">
        <v>0</v>
      </c>
    </row>
    <row r="118" spans="1:11" x14ac:dyDescent="0.2">
      <c r="A118" s="68"/>
      <c r="B118" s="75">
        <v>2005</v>
      </c>
      <c r="C118" s="53"/>
      <c r="D118" s="19">
        <v>156</v>
      </c>
      <c r="E118" s="54">
        <v>156</v>
      </c>
      <c r="G118" s="34">
        <v>2003</v>
      </c>
      <c r="H118" s="18">
        <v>14</v>
      </c>
      <c r="I118" s="19"/>
      <c r="J118" s="13">
        <v>14</v>
      </c>
    </row>
    <row r="119" spans="1:11" x14ac:dyDescent="0.2">
      <c r="A119" s="68"/>
      <c r="B119" s="75">
        <v>2006</v>
      </c>
      <c r="C119" s="53"/>
      <c r="D119" s="19">
        <v>66.5</v>
      </c>
      <c r="E119" s="54">
        <v>66.5</v>
      </c>
      <c r="G119" s="34">
        <v>2004</v>
      </c>
      <c r="H119" s="18"/>
      <c r="I119" s="19">
        <v>71.25</v>
      </c>
      <c r="J119" s="13">
        <v>71.25</v>
      </c>
    </row>
    <row r="120" spans="1:11" x14ac:dyDescent="0.2">
      <c r="A120" s="68"/>
      <c r="B120" s="75">
        <v>2007</v>
      </c>
      <c r="C120" s="53"/>
      <c r="D120" s="19">
        <v>312.5</v>
      </c>
      <c r="E120" s="54">
        <v>312.5</v>
      </c>
      <c r="G120" s="34">
        <v>2005</v>
      </c>
      <c r="H120" s="18"/>
      <c r="I120" s="19">
        <v>174.33333333333334</v>
      </c>
      <c r="J120" s="13">
        <v>174.33333333333334</v>
      </c>
    </row>
    <row r="121" spans="1:11" x14ac:dyDescent="0.2">
      <c r="A121" s="68"/>
      <c r="B121" s="75">
        <v>2008</v>
      </c>
      <c r="C121" s="53"/>
      <c r="D121" s="19">
        <v>92.5</v>
      </c>
      <c r="E121" s="54">
        <v>92.5</v>
      </c>
      <c r="G121" s="34">
        <v>2006</v>
      </c>
      <c r="H121" s="18"/>
      <c r="I121" s="19">
        <v>66.5</v>
      </c>
      <c r="J121" s="13">
        <v>66.5</v>
      </c>
    </row>
    <row r="122" spans="1:11" x14ac:dyDescent="0.2">
      <c r="A122" s="68"/>
      <c r="B122" s="75">
        <v>2009</v>
      </c>
      <c r="C122" s="53"/>
      <c r="D122" s="19">
        <v>22</v>
      </c>
      <c r="E122" s="54">
        <v>22</v>
      </c>
      <c r="G122" s="34">
        <v>2007</v>
      </c>
      <c r="H122" s="18"/>
      <c r="I122" s="19">
        <v>312.5</v>
      </c>
      <c r="J122" s="13">
        <v>312.5</v>
      </c>
    </row>
    <row r="123" spans="1:11" x14ac:dyDescent="0.2">
      <c r="A123" s="68"/>
      <c r="B123" s="75">
        <v>2010</v>
      </c>
      <c r="C123" s="53"/>
      <c r="D123" s="19">
        <v>50</v>
      </c>
      <c r="E123" s="54">
        <v>50</v>
      </c>
      <c r="G123" s="34">
        <v>2008</v>
      </c>
      <c r="H123" s="18"/>
      <c r="I123" s="19">
        <v>92.5</v>
      </c>
      <c r="J123" s="13">
        <v>92.5</v>
      </c>
    </row>
    <row r="124" spans="1:11" x14ac:dyDescent="0.2">
      <c r="A124" s="68"/>
      <c r="B124" s="75">
        <v>2011</v>
      </c>
      <c r="C124" s="53"/>
      <c r="D124" s="19">
        <v>46</v>
      </c>
      <c r="E124" s="54">
        <v>46</v>
      </c>
      <c r="G124" s="34">
        <v>2009</v>
      </c>
      <c r="H124" s="18"/>
      <c r="I124" s="19">
        <v>22</v>
      </c>
      <c r="J124" s="13">
        <v>22</v>
      </c>
    </row>
    <row r="125" spans="1:11" x14ac:dyDescent="0.2">
      <c r="A125" s="68"/>
      <c r="B125" s="75">
        <v>2012</v>
      </c>
      <c r="C125" s="53"/>
      <c r="D125" s="19">
        <v>223</v>
      </c>
      <c r="E125" s="54">
        <v>223</v>
      </c>
      <c r="G125" s="34">
        <v>2010</v>
      </c>
      <c r="H125" s="18"/>
      <c r="I125" s="19">
        <v>50</v>
      </c>
      <c r="J125" s="13">
        <v>50</v>
      </c>
    </row>
    <row r="126" spans="1:11" x14ac:dyDescent="0.2">
      <c r="A126" s="68"/>
      <c r="B126" s="75">
        <v>2013</v>
      </c>
      <c r="C126" s="53"/>
      <c r="D126" s="19">
        <v>4</v>
      </c>
      <c r="E126" s="54">
        <v>4</v>
      </c>
      <c r="G126" s="34">
        <v>2011</v>
      </c>
      <c r="H126" s="18"/>
      <c r="I126" s="19">
        <v>46</v>
      </c>
      <c r="J126" s="13">
        <v>46</v>
      </c>
    </row>
    <row r="127" spans="1:11" x14ac:dyDescent="0.2">
      <c r="A127" s="68"/>
      <c r="B127" s="75">
        <v>2014</v>
      </c>
      <c r="C127" s="53"/>
      <c r="D127" s="19">
        <v>169</v>
      </c>
      <c r="E127" s="54">
        <v>169</v>
      </c>
      <c r="G127" s="34">
        <v>2012</v>
      </c>
      <c r="H127" s="18"/>
      <c r="I127" s="19">
        <v>223</v>
      </c>
      <c r="J127" s="13">
        <v>223</v>
      </c>
    </row>
    <row r="128" spans="1:11" x14ac:dyDescent="0.2">
      <c r="A128" s="68"/>
      <c r="B128" s="75">
        <v>2015</v>
      </c>
      <c r="C128" s="53"/>
      <c r="D128" s="19">
        <v>51.5</v>
      </c>
      <c r="E128" s="54">
        <v>51.5</v>
      </c>
      <c r="G128" s="34">
        <v>2013</v>
      </c>
      <c r="H128" s="18"/>
      <c r="I128" s="19">
        <v>4</v>
      </c>
      <c r="J128" s="13">
        <v>4</v>
      </c>
    </row>
    <row r="129" spans="1:20" x14ac:dyDescent="0.2">
      <c r="A129" s="68"/>
      <c r="B129" s="75">
        <v>2016</v>
      </c>
      <c r="C129" s="53"/>
      <c r="D129" s="19">
        <v>61</v>
      </c>
      <c r="E129" s="54">
        <v>61</v>
      </c>
      <c r="G129" s="34">
        <v>2014</v>
      </c>
      <c r="H129" s="18"/>
      <c r="I129" s="19">
        <v>169</v>
      </c>
      <c r="J129" s="13">
        <v>169</v>
      </c>
    </row>
    <row r="130" spans="1:20" x14ac:dyDescent="0.2">
      <c r="A130" s="68"/>
      <c r="B130" s="75">
        <v>2017</v>
      </c>
      <c r="C130" s="53"/>
      <c r="D130" s="19">
        <v>11</v>
      </c>
      <c r="E130" s="54">
        <v>11</v>
      </c>
      <c r="G130" s="34">
        <v>2015</v>
      </c>
      <c r="H130" s="18"/>
      <c r="I130" s="19">
        <v>51.5</v>
      </c>
      <c r="J130" s="13">
        <v>51.5</v>
      </c>
    </row>
    <row r="131" spans="1:20" x14ac:dyDescent="0.2">
      <c r="A131" s="68"/>
      <c r="B131" s="75">
        <v>2018</v>
      </c>
      <c r="C131" s="53"/>
      <c r="D131" s="19">
        <v>4.25</v>
      </c>
      <c r="E131" s="54">
        <v>4.25</v>
      </c>
      <c r="G131" s="77">
        <v>2016</v>
      </c>
      <c r="I131" s="79">
        <v>61</v>
      </c>
    </row>
    <row r="132" spans="1:20" x14ac:dyDescent="0.2">
      <c r="A132" s="46" t="s">
        <v>45</v>
      </c>
      <c r="B132" s="44"/>
      <c r="C132" s="49">
        <v>3.5</v>
      </c>
      <c r="D132" s="50">
        <v>85.5</v>
      </c>
      <c r="E132" s="51">
        <v>78.369565217391298</v>
      </c>
      <c r="G132" s="77">
        <v>2017</v>
      </c>
      <c r="I132" s="80">
        <v>11</v>
      </c>
    </row>
    <row r="133" spans="1:20" x14ac:dyDescent="0.2">
      <c r="A133" s="55" t="s">
        <v>26</v>
      </c>
      <c r="B133" s="76"/>
      <c r="C133" s="56">
        <v>4.5999999999999996</v>
      </c>
      <c r="D133" s="57">
        <v>113.3780487804878</v>
      </c>
      <c r="E133" s="58">
        <v>101.55434782608695</v>
      </c>
      <c r="G133" s="78">
        <v>2018</v>
      </c>
      <c r="I133" s="83">
        <v>4</v>
      </c>
    </row>
    <row r="139" spans="1:20" x14ac:dyDescent="0.2">
      <c r="B139" s="29" t="s">
        <v>81</v>
      </c>
      <c r="C139" s="29" t="s">
        <v>82</v>
      </c>
    </row>
    <row r="140" spans="1:20" x14ac:dyDescent="0.2">
      <c r="B140" s="29" t="s">
        <v>67</v>
      </c>
      <c r="C140" s="30">
        <v>2002</v>
      </c>
      <c r="D140" s="30">
        <v>2003</v>
      </c>
      <c r="E140" s="30">
        <v>2004</v>
      </c>
      <c r="F140" s="30">
        <v>2005</v>
      </c>
      <c r="G140" s="30">
        <v>2006</v>
      </c>
      <c r="H140" s="30">
        <v>2007</v>
      </c>
      <c r="I140" s="30">
        <v>2008</v>
      </c>
      <c r="J140" s="30">
        <v>2009</v>
      </c>
      <c r="K140" s="30">
        <v>2010</v>
      </c>
      <c r="L140" s="30">
        <v>2011</v>
      </c>
      <c r="M140" s="30">
        <v>2012</v>
      </c>
      <c r="N140" s="30">
        <v>2013</v>
      </c>
      <c r="O140" s="30">
        <v>2014</v>
      </c>
      <c r="P140" s="30">
        <v>2015</v>
      </c>
      <c r="Q140" s="30">
        <v>2016</v>
      </c>
      <c r="R140" s="30">
        <v>2017</v>
      </c>
      <c r="S140" s="30">
        <v>2018</v>
      </c>
      <c r="T140" s="30" t="s">
        <v>26</v>
      </c>
    </row>
    <row r="141" spans="1:20" x14ac:dyDescent="0.2">
      <c r="B141" s="84">
        <v>1</v>
      </c>
      <c r="C141" s="19"/>
      <c r="D141" s="19">
        <v>14</v>
      </c>
      <c r="E141" s="19">
        <v>168</v>
      </c>
      <c r="F141" s="19">
        <v>370</v>
      </c>
      <c r="G141" s="19">
        <v>160</v>
      </c>
      <c r="H141" s="19">
        <v>325</v>
      </c>
      <c r="I141" s="19">
        <v>205</v>
      </c>
      <c r="J141" s="19">
        <v>31</v>
      </c>
      <c r="K141" s="19">
        <v>93</v>
      </c>
      <c r="L141" s="19">
        <v>52</v>
      </c>
      <c r="M141" s="19">
        <v>253</v>
      </c>
      <c r="N141" s="19">
        <v>4</v>
      </c>
      <c r="O141" s="19">
        <v>133</v>
      </c>
      <c r="P141" s="19">
        <v>56</v>
      </c>
      <c r="Q141" s="19">
        <v>97</v>
      </c>
      <c r="R141" s="19">
        <v>13</v>
      </c>
      <c r="S141" s="19">
        <v>14</v>
      </c>
      <c r="T141" s="19">
        <v>1988</v>
      </c>
    </row>
    <row r="142" spans="1:20" x14ac:dyDescent="0.2">
      <c r="B142" s="84">
        <v>2</v>
      </c>
      <c r="C142" s="19"/>
      <c r="D142" s="19"/>
      <c r="E142" s="19">
        <v>124</v>
      </c>
      <c r="F142" s="19">
        <v>254</v>
      </c>
      <c r="G142" s="19">
        <v>106</v>
      </c>
      <c r="H142" s="19">
        <v>300</v>
      </c>
      <c r="I142" s="19">
        <v>165</v>
      </c>
      <c r="J142" s="19">
        <v>13</v>
      </c>
      <c r="K142" s="19">
        <v>7</v>
      </c>
      <c r="L142" s="19">
        <v>40</v>
      </c>
      <c r="M142" s="19">
        <v>193</v>
      </c>
      <c r="N142" s="19">
        <v>4</v>
      </c>
      <c r="O142" s="19">
        <v>205</v>
      </c>
      <c r="P142" s="19">
        <v>47</v>
      </c>
      <c r="Q142" s="19">
        <v>147</v>
      </c>
      <c r="R142" s="19">
        <v>9</v>
      </c>
      <c r="S142" s="19">
        <v>3</v>
      </c>
      <c r="T142" s="19">
        <v>1617</v>
      </c>
    </row>
    <row r="143" spans="1:20" x14ac:dyDescent="0.2">
      <c r="B143" s="84">
        <v>3</v>
      </c>
      <c r="C143" s="19">
        <v>23</v>
      </c>
      <c r="D143" s="19">
        <v>1</v>
      </c>
      <c r="E143" s="19">
        <v>92</v>
      </c>
      <c r="F143" s="19">
        <v>148</v>
      </c>
      <c r="G143" s="19">
        <v>441</v>
      </c>
      <c r="H143" s="19">
        <v>680</v>
      </c>
      <c r="I143" s="19">
        <v>254</v>
      </c>
      <c r="J143" s="19">
        <v>8</v>
      </c>
      <c r="K143" s="19">
        <v>140</v>
      </c>
      <c r="L143" s="19">
        <v>207</v>
      </c>
      <c r="M143" s="19">
        <v>124</v>
      </c>
      <c r="N143" s="19">
        <v>46</v>
      </c>
      <c r="O143" s="19">
        <v>105</v>
      </c>
      <c r="P143" s="19">
        <v>17</v>
      </c>
      <c r="Q143" s="19">
        <v>119</v>
      </c>
      <c r="R143" s="19">
        <v>5</v>
      </c>
      <c r="S143" s="19">
        <v>182</v>
      </c>
      <c r="T143" s="19">
        <v>2592</v>
      </c>
    </row>
    <row r="144" spans="1:20" x14ac:dyDescent="0.2">
      <c r="B144" s="84">
        <v>4</v>
      </c>
      <c r="C144" s="19">
        <v>8</v>
      </c>
      <c r="D144" s="19"/>
      <c r="E144" s="19">
        <v>50</v>
      </c>
      <c r="F144" s="19">
        <v>161</v>
      </c>
      <c r="G144" s="19">
        <v>385</v>
      </c>
      <c r="H144" s="19">
        <v>656</v>
      </c>
      <c r="I144" s="19">
        <v>437</v>
      </c>
      <c r="J144" s="19"/>
      <c r="K144" s="19">
        <v>269</v>
      </c>
      <c r="L144" s="19">
        <v>260</v>
      </c>
      <c r="M144" s="19">
        <v>72</v>
      </c>
      <c r="N144" s="19">
        <v>79</v>
      </c>
      <c r="O144" s="19">
        <v>170</v>
      </c>
      <c r="P144" s="19">
        <v>4</v>
      </c>
      <c r="Q144" s="19">
        <v>407</v>
      </c>
      <c r="R144" s="19">
        <v>26</v>
      </c>
      <c r="S144" s="19">
        <v>162</v>
      </c>
      <c r="T144" s="19">
        <v>3146</v>
      </c>
    </row>
    <row r="145" spans="2:20" x14ac:dyDescent="0.2">
      <c r="B145" s="84" t="s">
        <v>15</v>
      </c>
      <c r="C145" s="19">
        <v>0</v>
      </c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>
        <v>0</v>
      </c>
    </row>
    <row r="146" spans="2:20" x14ac:dyDescent="0.2">
      <c r="B146" s="84" t="s">
        <v>26</v>
      </c>
      <c r="C146" s="19">
        <v>31</v>
      </c>
      <c r="D146" s="19">
        <v>15</v>
      </c>
      <c r="E146" s="19">
        <v>434</v>
      </c>
      <c r="F146" s="19">
        <v>933</v>
      </c>
      <c r="G146" s="19">
        <v>1092</v>
      </c>
      <c r="H146" s="19">
        <v>1961</v>
      </c>
      <c r="I146" s="19">
        <v>1061</v>
      </c>
      <c r="J146" s="19">
        <v>52</v>
      </c>
      <c r="K146" s="19">
        <v>509</v>
      </c>
      <c r="L146" s="19">
        <v>559</v>
      </c>
      <c r="M146" s="19">
        <v>642</v>
      </c>
      <c r="N146" s="19">
        <v>133</v>
      </c>
      <c r="O146" s="19">
        <v>613</v>
      </c>
      <c r="P146" s="19">
        <v>124</v>
      </c>
      <c r="Q146" s="19">
        <v>770</v>
      </c>
      <c r="R146" s="19">
        <v>53</v>
      </c>
      <c r="S146" s="19">
        <v>361</v>
      </c>
      <c r="T146" s="19">
        <v>9343</v>
      </c>
    </row>
    <row r="150" spans="2:20" x14ac:dyDescent="0.2">
      <c r="C150" s="82" t="s">
        <v>73</v>
      </c>
      <c r="D150" s="85">
        <v>2002</v>
      </c>
      <c r="E150" s="85">
        <v>2003</v>
      </c>
      <c r="F150" s="85">
        <v>2004</v>
      </c>
      <c r="G150" s="85">
        <v>2005</v>
      </c>
      <c r="H150" s="85">
        <v>2006</v>
      </c>
      <c r="I150" s="85">
        <v>2007</v>
      </c>
      <c r="J150" s="85">
        <v>2008</v>
      </c>
      <c r="K150" s="85">
        <v>2009</v>
      </c>
      <c r="L150" s="85">
        <v>2010</v>
      </c>
      <c r="M150" s="85">
        <v>2011</v>
      </c>
      <c r="N150" s="85">
        <v>2012</v>
      </c>
      <c r="O150" s="85">
        <v>2013</v>
      </c>
      <c r="P150" s="85">
        <v>2014</v>
      </c>
      <c r="Q150" s="85">
        <v>2015</v>
      </c>
      <c r="R150" s="85">
        <v>2016</v>
      </c>
      <c r="S150" s="85">
        <v>2017</v>
      </c>
      <c r="T150" s="85">
        <v>2018</v>
      </c>
    </row>
    <row r="151" spans="2:20" x14ac:dyDescent="0.2">
      <c r="C151" s="84">
        <v>1</v>
      </c>
      <c r="D151" s="19"/>
      <c r="E151" s="19">
        <v>14</v>
      </c>
      <c r="F151" s="19">
        <v>168</v>
      </c>
      <c r="G151" s="19">
        <v>370</v>
      </c>
      <c r="H151" s="19">
        <v>160</v>
      </c>
      <c r="I151" s="19">
        <v>325</v>
      </c>
      <c r="J151" s="19">
        <v>205</v>
      </c>
      <c r="K151" s="19">
        <v>31</v>
      </c>
      <c r="L151" s="19">
        <v>93</v>
      </c>
      <c r="M151" s="19">
        <v>52</v>
      </c>
      <c r="N151" s="19">
        <v>253</v>
      </c>
      <c r="O151" s="19">
        <v>4</v>
      </c>
      <c r="P151" s="19">
        <v>133</v>
      </c>
      <c r="Q151" s="19">
        <v>56</v>
      </c>
      <c r="R151" s="19">
        <v>97</v>
      </c>
      <c r="S151" s="19">
        <v>13</v>
      </c>
      <c r="T151" s="19">
        <v>8</v>
      </c>
    </row>
    <row r="152" spans="2:20" x14ac:dyDescent="0.2">
      <c r="C152" s="84">
        <v>2</v>
      </c>
      <c r="D152" s="19"/>
      <c r="E152" s="19"/>
      <c r="F152" s="19">
        <v>124</v>
      </c>
      <c r="G152" s="19">
        <v>254</v>
      </c>
      <c r="H152" s="19">
        <v>106</v>
      </c>
      <c r="I152" s="19">
        <v>300</v>
      </c>
      <c r="J152" s="19">
        <v>165</v>
      </c>
      <c r="K152" s="19">
        <v>13</v>
      </c>
      <c r="L152" s="19">
        <v>7</v>
      </c>
      <c r="M152" s="19">
        <v>40</v>
      </c>
      <c r="N152" s="19">
        <v>193</v>
      </c>
      <c r="O152" s="19">
        <v>4</v>
      </c>
      <c r="P152" s="19">
        <v>205</v>
      </c>
      <c r="Q152" s="19">
        <v>47</v>
      </c>
      <c r="R152" s="19">
        <v>147</v>
      </c>
      <c r="S152" s="19">
        <v>9</v>
      </c>
      <c r="T152" s="19">
        <v>0</v>
      </c>
    </row>
    <row r="153" spans="2:20" x14ac:dyDescent="0.2">
      <c r="C153" s="84">
        <v>3</v>
      </c>
      <c r="D153" s="19">
        <v>23</v>
      </c>
      <c r="E153" s="19">
        <v>1</v>
      </c>
      <c r="F153" s="19">
        <v>92</v>
      </c>
      <c r="G153" s="19">
        <v>148</v>
      </c>
      <c r="H153" s="19">
        <v>441</v>
      </c>
      <c r="I153" s="19">
        <v>680</v>
      </c>
      <c r="J153" s="19">
        <v>254</v>
      </c>
      <c r="K153" s="19">
        <v>8</v>
      </c>
      <c r="L153" s="19">
        <v>140</v>
      </c>
      <c r="M153" s="19">
        <v>207</v>
      </c>
      <c r="N153" s="19">
        <v>124</v>
      </c>
      <c r="O153" s="19">
        <v>46</v>
      </c>
      <c r="P153" s="19">
        <v>105</v>
      </c>
      <c r="Q153" s="19">
        <v>17</v>
      </c>
      <c r="R153" s="19">
        <v>119</v>
      </c>
      <c r="S153" s="19">
        <v>5</v>
      </c>
      <c r="T153" s="19">
        <v>150</v>
      </c>
    </row>
    <row r="154" spans="2:20" x14ac:dyDescent="0.2">
      <c r="C154" s="84">
        <v>4</v>
      </c>
      <c r="D154" s="19">
        <v>8</v>
      </c>
      <c r="E154" s="19"/>
      <c r="F154" s="19">
        <v>50</v>
      </c>
      <c r="G154" s="19">
        <v>161</v>
      </c>
      <c r="H154" s="19">
        <v>385</v>
      </c>
      <c r="I154" s="19">
        <v>656</v>
      </c>
      <c r="J154" s="19">
        <v>437</v>
      </c>
      <c r="K154" s="19"/>
      <c r="L154" s="19">
        <v>269</v>
      </c>
      <c r="M154" s="19">
        <v>260</v>
      </c>
      <c r="N154" s="19">
        <v>72</v>
      </c>
      <c r="O154" s="19">
        <v>79</v>
      </c>
      <c r="P154" s="19">
        <v>170</v>
      </c>
      <c r="Q154" s="19">
        <v>4</v>
      </c>
      <c r="R154" s="19">
        <v>407</v>
      </c>
      <c r="S154" s="19">
        <v>26</v>
      </c>
      <c r="T154" s="19">
        <v>162</v>
      </c>
    </row>
    <row r="157" spans="2:20" x14ac:dyDescent="0.2">
      <c r="B157" s="29" t="s">
        <v>27</v>
      </c>
      <c r="C157" s="29" t="s">
        <v>82</v>
      </c>
    </row>
    <row r="158" spans="2:20" x14ac:dyDescent="0.2">
      <c r="B158" s="29" t="s">
        <v>67</v>
      </c>
      <c r="C158" s="30">
        <v>2002</v>
      </c>
      <c r="D158" s="30">
        <v>2003</v>
      </c>
      <c r="E158" s="30">
        <v>2004</v>
      </c>
      <c r="F158" s="30">
        <v>2005</v>
      </c>
      <c r="G158" s="30">
        <v>2006</v>
      </c>
      <c r="H158" s="30">
        <v>2007</v>
      </c>
      <c r="I158" s="30">
        <v>2008</v>
      </c>
      <c r="J158" s="30">
        <v>2009</v>
      </c>
      <c r="K158" s="30">
        <v>2010</v>
      </c>
      <c r="L158" s="30">
        <v>2011</v>
      </c>
      <c r="M158" s="30">
        <v>2012</v>
      </c>
      <c r="N158" s="30">
        <v>2013</v>
      </c>
      <c r="O158" s="30">
        <v>2014</v>
      </c>
      <c r="P158" s="30">
        <v>2015</v>
      </c>
      <c r="Q158" s="30">
        <v>2016</v>
      </c>
      <c r="R158" s="30">
        <v>2017</v>
      </c>
      <c r="S158" s="30">
        <v>2018</v>
      </c>
      <c r="T158" s="30" t="s">
        <v>26</v>
      </c>
    </row>
    <row r="159" spans="2:20" x14ac:dyDescent="0.2">
      <c r="B159" s="84">
        <v>1</v>
      </c>
      <c r="C159" s="19"/>
      <c r="D159" s="19">
        <v>14</v>
      </c>
      <c r="E159" s="19">
        <v>84</v>
      </c>
      <c r="F159" s="19">
        <v>185</v>
      </c>
      <c r="G159" s="19">
        <v>80</v>
      </c>
      <c r="H159" s="19">
        <v>325</v>
      </c>
      <c r="I159" s="19">
        <v>102.5</v>
      </c>
      <c r="J159" s="19">
        <v>31</v>
      </c>
      <c r="K159" s="19">
        <v>93</v>
      </c>
      <c r="L159" s="19">
        <v>52</v>
      </c>
      <c r="M159" s="19">
        <v>253</v>
      </c>
      <c r="N159" s="19">
        <v>4</v>
      </c>
      <c r="O159" s="19">
        <v>133</v>
      </c>
      <c r="P159" s="19">
        <v>56</v>
      </c>
      <c r="Q159" s="19">
        <v>48.5</v>
      </c>
      <c r="R159" s="19">
        <v>13</v>
      </c>
      <c r="S159" s="19">
        <v>7</v>
      </c>
      <c r="T159" s="19">
        <v>90.36363636363636</v>
      </c>
    </row>
    <row r="160" spans="2:20" x14ac:dyDescent="0.2">
      <c r="B160" s="84">
        <v>2</v>
      </c>
      <c r="C160" s="19"/>
      <c r="D160" s="19"/>
      <c r="E160" s="19">
        <v>62</v>
      </c>
      <c r="F160" s="19">
        <v>127</v>
      </c>
      <c r="G160" s="19">
        <v>53</v>
      </c>
      <c r="H160" s="19">
        <v>300</v>
      </c>
      <c r="I160" s="19">
        <v>82.5</v>
      </c>
      <c r="J160" s="19">
        <v>13</v>
      </c>
      <c r="K160" s="19">
        <v>7</v>
      </c>
      <c r="L160" s="19">
        <v>40</v>
      </c>
      <c r="M160" s="19">
        <v>193</v>
      </c>
      <c r="N160" s="19">
        <v>4</v>
      </c>
      <c r="O160" s="19">
        <v>205</v>
      </c>
      <c r="P160" s="19">
        <v>47</v>
      </c>
      <c r="Q160" s="19">
        <v>73.5</v>
      </c>
      <c r="R160" s="19">
        <v>9</v>
      </c>
      <c r="S160" s="19">
        <v>1.5</v>
      </c>
      <c r="T160" s="19">
        <v>77</v>
      </c>
    </row>
    <row r="161" spans="2:20" x14ac:dyDescent="0.2">
      <c r="B161" s="84">
        <v>3</v>
      </c>
      <c r="C161" s="19">
        <v>11.5</v>
      </c>
      <c r="D161" s="19">
        <v>1</v>
      </c>
      <c r="E161" s="19">
        <v>46</v>
      </c>
      <c r="F161" s="19">
        <v>74</v>
      </c>
      <c r="G161" s="19">
        <v>220.5</v>
      </c>
      <c r="H161" s="19">
        <v>680</v>
      </c>
      <c r="I161" s="19">
        <v>127</v>
      </c>
      <c r="J161" s="19">
        <v>8</v>
      </c>
      <c r="K161" s="19">
        <v>140</v>
      </c>
      <c r="L161" s="19">
        <v>207</v>
      </c>
      <c r="M161" s="19">
        <v>124</v>
      </c>
      <c r="N161" s="19">
        <v>46</v>
      </c>
      <c r="O161" s="19">
        <v>105</v>
      </c>
      <c r="P161" s="19">
        <v>17</v>
      </c>
      <c r="Q161" s="19">
        <v>59.5</v>
      </c>
      <c r="R161" s="19">
        <v>5</v>
      </c>
      <c r="S161" s="19">
        <v>91</v>
      </c>
      <c r="T161" s="19">
        <v>108</v>
      </c>
    </row>
    <row r="162" spans="2:20" x14ac:dyDescent="0.2">
      <c r="B162" s="84">
        <v>4</v>
      </c>
      <c r="C162" s="19">
        <v>2.6666666666666665</v>
      </c>
      <c r="D162" s="19"/>
      <c r="E162" s="19">
        <v>25</v>
      </c>
      <c r="F162" s="19">
        <v>161</v>
      </c>
      <c r="G162" s="19">
        <v>192.5</v>
      </c>
      <c r="H162" s="19">
        <v>656</v>
      </c>
      <c r="I162" s="19">
        <v>218.5</v>
      </c>
      <c r="J162" s="19"/>
      <c r="K162" s="19">
        <v>269</v>
      </c>
      <c r="L162" s="19">
        <v>260</v>
      </c>
      <c r="M162" s="19">
        <v>72</v>
      </c>
      <c r="N162" s="19">
        <v>79</v>
      </c>
      <c r="O162" s="19">
        <v>170</v>
      </c>
      <c r="P162" s="19">
        <v>4</v>
      </c>
      <c r="Q162" s="19">
        <v>203.5</v>
      </c>
      <c r="R162" s="19">
        <v>26</v>
      </c>
      <c r="S162" s="19">
        <v>81</v>
      </c>
      <c r="T162" s="19">
        <v>143</v>
      </c>
    </row>
    <row r="163" spans="2:20" x14ac:dyDescent="0.2">
      <c r="B163" s="84" t="s">
        <v>15</v>
      </c>
      <c r="C163" s="19">
        <v>0</v>
      </c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>
        <v>0</v>
      </c>
    </row>
    <row r="164" spans="2:20" x14ac:dyDescent="0.2">
      <c r="B164" s="84" t="s">
        <v>26</v>
      </c>
      <c r="C164" s="19">
        <v>3.875</v>
      </c>
      <c r="D164" s="19">
        <v>7.5</v>
      </c>
      <c r="E164" s="19">
        <v>54.25</v>
      </c>
      <c r="F164" s="19">
        <v>133.28571428571428</v>
      </c>
      <c r="G164" s="19">
        <v>136.5</v>
      </c>
      <c r="H164" s="19">
        <v>490.25</v>
      </c>
      <c r="I164" s="19">
        <v>132.625</v>
      </c>
      <c r="J164" s="19">
        <v>17.333333333333332</v>
      </c>
      <c r="K164" s="19">
        <v>127.25</v>
      </c>
      <c r="L164" s="19">
        <v>139.75</v>
      </c>
      <c r="M164" s="19">
        <v>160.5</v>
      </c>
      <c r="N164" s="19">
        <v>33.25</v>
      </c>
      <c r="O164" s="19">
        <v>153.25</v>
      </c>
      <c r="P164" s="19">
        <v>31</v>
      </c>
      <c r="Q164" s="19">
        <v>96.25</v>
      </c>
      <c r="R164" s="19">
        <v>13.25</v>
      </c>
      <c r="S164" s="19">
        <v>45.125</v>
      </c>
      <c r="T164" s="19">
        <v>101.55434782608695</v>
      </c>
    </row>
    <row r="166" spans="2:20" x14ac:dyDescent="0.2">
      <c r="B166" t="s">
        <v>87</v>
      </c>
    </row>
    <row r="167" spans="2:20" x14ac:dyDescent="0.2">
      <c r="C167" s="85">
        <v>2002</v>
      </c>
      <c r="D167" s="85">
        <v>2003</v>
      </c>
      <c r="E167" s="85">
        <v>2004</v>
      </c>
      <c r="F167" s="85">
        <v>2005</v>
      </c>
      <c r="G167" s="85">
        <v>2006</v>
      </c>
      <c r="H167" s="85">
        <v>2007</v>
      </c>
      <c r="I167" s="85">
        <v>2008</v>
      </c>
      <c r="J167" s="85">
        <v>2009</v>
      </c>
      <c r="K167" s="85">
        <v>2010</v>
      </c>
      <c r="L167" s="85">
        <v>2011</v>
      </c>
      <c r="M167" s="85">
        <v>2012</v>
      </c>
      <c r="N167" s="85">
        <v>2013</v>
      </c>
      <c r="O167" s="85">
        <v>2014</v>
      </c>
      <c r="P167" s="85">
        <v>2015</v>
      </c>
      <c r="Q167" s="85">
        <v>2016</v>
      </c>
      <c r="R167" s="85">
        <v>2017</v>
      </c>
      <c r="S167" s="85">
        <v>2018</v>
      </c>
    </row>
    <row r="168" spans="2:20" x14ac:dyDescent="0.2">
      <c r="B168" t="s">
        <v>83</v>
      </c>
      <c r="C168" s="19"/>
      <c r="D168" s="19">
        <v>14</v>
      </c>
      <c r="E168" s="19">
        <v>84</v>
      </c>
      <c r="F168" s="19">
        <v>185</v>
      </c>
      <c r="G168" s="19">
        <v>80</v>
      </c>
      <c r="H168" s="19">
        <v>325</v>
      </c>
      <c r="I168" s="19">
        <v>102.5</v>
      </c>
      <c r="J168" s="19">
        <v>31</v>
      </c>
      <c r="K168" s="19">
        <v>93</v>
      </c>
      <c r="L168" s="19">
        <v>52</v>
      </c>
      <c r="M168" s="19">
        <v>253</v>
      </c>
      <c r="N168" s="19">
        <v>4</v>
      </c>
      <c r="O168" s="19">
        <v>133</v>
      </c>
      <c r="P168" s="19">
        <v>56</v>
      </c>
      <c r="Q168" s="19">
        <v>48.5</v>
      </c>
      <c r="R168" s="19">
        <v>13</v>
      </c>
      <c r="S168" s="19">
        <v>8</v>
      </c>
    </row>
    <row r="169" spans="2:20" x14ac:dyDescent="0.2">
      <c r="B169" t="s">
        <v>84</v>
      </c>
      <c r="C169" s="19"/>
      <c r="D169" s="19"/>
      <c r="E169" s="19">
        <v>62</v>
      </c>
      <c r="F169" s="19">
        <v>127</v>
      </c>
      <c r="G169" s="19">
        <v>53</v>
      </c>
      <c r="H169" s="19">
        <v>300</v>
      </c>
      <c r="I169" s="19">
        <v>82.5</v>
      </c>
      <c r="J169" s="19">
        <v>13</v>
      </c>
      <c r="K169" s="19">
        <v>7</v>
      </c>
      <c r="L169" s="19">
        <v>40</v>
      </c>
      <c r="M169" s="19">
        <v>193</v>
      </c>
      <c r="N169" s="19">
        <v>4</v>
      </c>
      <c r="O169" s="19">
        <v>205</v>
      </c>
      <c r="P169" s="19">
        <v>47</v>
      </c>
      <c r="Q169" s="19">
        <v>73.5</v>
      </c>
      <c r="R169" s="19">
        <v>9</v>
      </c>
      <c r="S169" s="19">
        <v>0</v>
      </c>
    </row>
    <row r="170" spans="2:20" x14ac:dyDescent="0.2">
      <c r="B170" t="s">
        <v>85</v>
      </c>
      <c r="C170" s="19">
        <v>11.5</v>
      </c>
      <c r="D170" s="19">
        <v>1</v>
      </c>
      <c r="E170" s="19">
        <v>46</v>
      </c>
      <c r="F170" s="19">
        <v>74</v>
      </c>
      <c r="G170" s="19">
        <v>220.5</v>
      </c>
      <c r="H170" s="19">
        <v>680</v>
      </c>
      <c r="I170" s="19">
        <v>127</v>
      </c>
      <c r="J170" s="19">
        <v>8</v>
      </c>
      <c r="K170" s="19">
        <v>140</v>
      </c>
      <c r="L170" s="19">
        <v>207</v>
      </c>
      <c r="M170" s="19">
        <v>124</v>
      </c>
      <c r="N170" s="19">
        <v>46</v>
      </c>
      <c r="O170" s="19">
        <v>105</v>
      </c>
      <c r="P170" s="19">
        <v>17</v>
      </c>
      <c r="Q170" s="19">
        <v>59.5</v>
      </c>
      <c r="R170" s="19">
        <v>5</v>
      </c>
      <c r="S170" s="19">
        <v>150</v>
      </c>
    </row>
    <row r="171" spans="2:20" x14ac:dyDescent="0.2">
      <c r="B171" t="s">
        <v>86</v>
      </c>
      <c r="C171" s="19">
        <v>2.6666666666666665</v>
      </c>
      <c r="D171" s="19"/>
      <c r="E171" s="19">
        <v>25</v>
      </c>
      <c r="F171" s="19">
        <v>161</v>
      </c>
      <c r="G171" s="19">
        <v>192.5</v>
      </c>
      <c r="H171" s="19">
        <v>656</v>
      </c>
      <c r="I171" s="19">
        <v>218.5</v>
      </c>
      <c r="J171" s="19"/>
      <c r="K171" s="19">
        <v>269</v>
      </c>
      <c r="L171" s="19">
        <v>260</v>
      </c>
      <c r="M171" s="19">
        <v>72</v>
      </c>
      <c r="N171" s="19">
        <v>79</v>
      </c>
      <c r="O171" s="19">
        <v>170</v>
      </c>
      <c r="P171" s="19">
        <v>4</v>
      </c>
      <c r="Q171" s="19">
        <v>203.5</v>
      </c>
      <c r="R171" s="19">
        <v>26</v>
      </c>
      <c r="S171" s="19">
        <v>162</v>
      </c>
    </row>
  </sheetData>
  <phoneticPr fontId="0" type="noConversion"/>
  <pageMargins left="0.75" right="0.75" top="1" bottom="1" header="0.5" footer="0.5"/>
  <pageSetup orientation="portrait" r:id="rId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93" zoomScaleNormal="100" zoomScaleSheetLayoutView="93" workbookViewId="0">
      <selection activeCell="I12" sqref="I12"/>
    </sheetView>
  </sheetViews>
  <sheetFormatPr defaultRowHeight="12.75" x14ac:dyDescent="0.2"/>
  <sheetData/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64" zoomScale="93" zoomScaleNormal="89" zoomScaleSheetLayoutView="93" workbookViewId="0">
      <selection activeCell="I12" sqref="I12"/>
    </sheetView>
  </sheetViews>
  <sheetFormatPr defaultRowHeight="12.75" x14ac:dyDescent="0.2"/>
  <cols>
    <col min="1" max="1" width="24.85546875" customWidth="1"/>
    <col min="2" max="2" width="5" customWidth="1"/>
    <col min="3" max="3" width="20.5703125" bestFit="1" customWidth="1"/>
    <col min="4" max="4" width="10.5703125" bestFit="1" customWidth="1"/>
  </cols>
  <sheetData/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data</vt:lpstr>
      <vt:lpstr>data no zero</vt:lpstr>
      <vt:lpstr>data for nugget</vt:lpstr>
      <vt:lpstr>Pivot Charts</vt:lpstr>
      <vt:lpstr>mummichogs</vt:lpstr>
      <vt:lpstr>species diversity</vt:lpstr>
      <vt:lpstr>mummichogs!Print_Area</vt:lpstr>
      <vt:lpstr>data!Print_Titles</vt:lpstr>
      <vt:lpstr>'data for nugget'!Print_Titles</vt:lpstr>
      <vt:lpstr>'data no zero'!Print_Titles</vt:lpstr>
    </vt:vector>
  </TitlesOfParts>
  <Company>Mass Audubon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Ridlon</dc:creator>
  <cp:lastModifiedBy>Liz Duff</cp:lastModifiedBy>
  <cp:lastPrinted>2019-02-12T15:38:09Z</cp:lastPrinted>
  <dcterms:created xsi:type="dcterms:W3CDTF">2002-06-24T14:19:27Z</dcterms:created>
  <dcterms:modified xsi:type="dcterms:W3CDTF">2019-02-12T15:38:30Z</dcterms:modified>
</cp:coreProperties>
</file>